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Summary" sheetId="2" state="visible" r:id="rId4"/>
    <sheet name="Start here" sheetId="3" state="visible" r:id="rId5"/>
    <sheet name="Revenue" sheetId="4" state="visible" r:id="rId6"/>
    <sheet name="Costs" sheetId="5" state="visible" r:id="rId7"/>
    <sheet name="Personnel" sheetId="6" state="visible" r:id="rId8"/>
    <sheet name="Capital" sheetId="7" state="visible" r:id="rId9"/>
    <sheet name="Income statement" sheetId="8" state="visible" r:id="rId10"/>
    <sheet name="Cash flow" sheetId="9" state="visible" r:id="rId11"/>
    <sheet name="Balance sheet" sheetId="10" state="visible" r:id="rId12"/>
    <sheet name="Break-even" sheetId="11" state="visible" r:id="rId13"/>
  </sheets>
  <definedNames>
    <definedName function="false" hidden="false" localSheetId="9" name="_xlnm.Print_Titles" vbProcedure="false">'Balance sheet'!$A:$A</definedName>
    <definedName function="false" hidden="false" localSheetId="10" name="_xlnm.Print_Titles" vbProcedure="false">'Break-even'!$A:$A</definedName>
    <definedName function="false" hidden="false" localSheetId="6" name="_xlnm.Print_Titles" vbProcedure="false">Capital!$A:$E</definedName>
    <definedName function="false" hidden="false" localSheetId="8" name="_xlnm.Print_Titles" vbProcedure="false">'Cash flow'!$A:$A</definedName>
    <definedName function="false" hidden="false" localSheetId="4" name="_xlnm.Print_Titles" vbProcedure="false">Costs!$A:$A</definedName>
    <definedName function="false" hidden="false" localSheetId="7" name="_xlnm.Print_Titles" vbProcedure="false">'Income statement'!$A:$A</definedName>
    <definedName function="false" hidden="false" localSheetId="5" name="_xlnm.Print_Titles" vbProcedure="false">Personnel!$A:$D</definedName>
    <definedName function="false" hidden="false" localSheetId="3" name="_xlnm.Print_Titles" vbProcedure="false">Revenue!$A:$A</definedName>
    <definedName function="false" hidden="false" name="APDays" vbProcedure="false">'Start here'!$B$19</definedName>
    <definedName function="false" hidden="false" name="APMonths" vbProcedure="false">'Start here'!$B$28</definedName>
    <definedName function="false" hidden="false" name="ARDays" vbProcedure="false">'Start here'!$B$18</definedName>
    <definedName function="false" hidden="false" name="ARMonths" vbProcedure="false">'Start here'!$B$27</definedName>
    <definedName function="false" hidden="false" name="Burden" vbProcedure="false">'Start here'!$B$20</definedName>
    <definedName function="false" hidden="false" name="BusinessName" vbProcedure="false">'Start here'!$B$14</definedName>
    <definedName function="false" hidden="false" name="GrowthY2" vbProcedure="false">'Start here'!$B$21</definedName>
    <definedName function="false" hidden="false" name="GrowthY3" vbProcedure="false">'Start here'!$B$22</definedName>
    <definedName function="false" hidden="false" name="GrowthY4" vbProcedure="false">'Start here'!$B$23</definedName>
    <definedName function="false" hidden="false" name="GrowthY5" vbProcedure="false">'Start here'!$B$24</definedName>
    <definedName function="false" hidden="false" name="OpeningCash" vbProcedure="false">'Start here'!$B$16</definedName>
    <definedName function="false" hidden="false" name="OverheadGrowth" vbProcedure="false">'Start here'!$B$25</definedName>
    <definedName function="false" hidden="false" name="StartMonth" vbProcedure="false">'Start here'!$B$15</definedName>
    <definedName function="false" hidden="false" name="TaxRate" vbProcedure="false">'Start here'!$B$17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<sst xmlns="http://schemas.openxmlformats.org/spreadsheetml/2006/main" count="281" uniqueCount="193">
  <si>
    <t xml:space="preserve">Business plan financial template</t>
  </si>
  <si>
    <t xml:space="preserve">Revenue, costs, people, equipment and borrowing — resolved into the four statements a lender or an investor will ask for.</t>
  </si>
  <si>
    <t xml:space="preserve">What is inside</t>
  </si>
  <si>
    <t xml:space="preserve">Summary</t>
  </si>
  <si>
    <t xml:space="preserve">the six numbers to lead with, and a five-year shape</t>
  </si>
  <si>
    <t xml:space="preserve">Start here</t>
  </si>
  <si>
    <t xml:space="preserve">your assumptions — start month, cash, tax, payment terms</t>
  </si>
  <si>
    <t xml:space="preserve">Revenue</t>
  </si>
  <si>
    <t xml:space="preserve">what you sell, how much of it, at what price</t>
  </si>
  <si>
    <t xml:space="preserve">Costs</t>
  </si>
  <si>
    <t xml:space="preserve">cost of sales as a share of revenue, plus overheads</t>
  </si>
  <si>
    <t xml:space="preserve">Personnel</t>
  </si>
  <si>
    <t xml:space="preserve">who you hire and when, with employer costs on top</t>
  </si>
  <si>
    <t xml:space="preserve">Capital</t>
  </si>
  <si>
    <t xml:space="preserve">equipment, loans and money you put in</t>
  </si>
  <si>
    <t xml:space="preserve">Income statement</t>
  </si>
  <si>
    <t xml:space="preserve">profit and loss, month by month and year by year</t>
  </si>
  <si>
    <t xml:space="preserve">Cash flow</t>
  </si>
  <si>
    <t xml:space="preserve">when the money actually moves, not when it is earned</t>
  </si>
  <si>
    <t xml:space="preserve">Balance sheet</t>
  </si>
  <si>
    <t xml:space="preserve">what you own and owe, with a check row that must read zero</t>
  </si>
  <si>
    <t xml:space="preserve">Break-even</t>
  </si>
  <si>
    <t xml:space="preserve">how much you must sell to cover your fixed costs</t>
  </si>
  <si>
    <t xml:space="preserve">How to use it</t>
  </si>
  <si>
    <t xml:space="preserve">1.  Set your assumptions on Start here.</t>
  </si>
  <si>
    <t xml:space="preserve">2.  Fill in Revenue, Costs, Personnel and Capital — the blue cells.</t>
  </si>
  <si>
    <t xml:space="preserve">3.  Read Summary, the statements and Break-even. You never type on those.</t>
  </si>
  <si>
    <t xml:space="preserve">4.  Type over the worked example. It is there to show the model running.</t>
  </si>
  <si>
    <t xml:space="preserve">Blue cells are yours to fill in. Grey cells calculate — leave them alone.</t>
  </si>
  <si>
    <t xml:space="preserve">Would rather not build it by hand?</t>
  </si>
  <si>
    <t xml:space="preserve">Upmetrics forecasts revenue, costs, payroll and funding for you, and keeps the plan and the numbers in step — no formulas to maintain and nothing to re-link when a number changes.</t>
  </si>
  <si>
    <t xml:space="preserve">Try Upmetrics →</t>
  </si>
  <si>
    <t xml:space="preserve">Disclaimer</t>
  </si>
  <si>
    <t xml:space="preserve">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</si>
  <si>
    <t xml:space="preserve">The six numbers to lead with, and the five-year shape underneath them.</t>
  </si>
  <si>
    <t xml:space="preserve">Year one at a glance</t>
  </si>
  <si>
    <t xml:space="preserve">Gross margin</t>
  </si>
  <si>
    <t xml:space="preserve">Net profit</t>
  </si>
  <si>
    <t xml:space="preserve">Lowest cash balance</t>
  </si>
  <si>
    <t xml:space="preserve">Breaks even in</t>
  </si>
  <si>
    <t xml:space="preserve">Closing cash, year 5</t>
  </si>
  <si>
    <t xml:space="preserve">Five-year summary</t>
  </si>
  <si>
    <t xml:space="preserve">Year 1</t>
  </si>
  <si>
    <t xml:space="preserve">Year 2</t>
  </si>
  <si>
    <t xml:space="preserve">Year 3</t>
  </si>
  <si>
    <t xml:space="preserve">Year 4</t>
  </si>
  <si>
    <t xml:space="preserve">Year 5</t>
  </si>
  <si>
    <t xml:space="preserve">Gross profit</t>
  </si>
  <si>
    <t xml:space="preserve">Overheads + payroll</t>
  </si>
  <si>
    <t xml:space="preserve">Net margin</t>
  </si>
  <si>
    <t xml:space="preserve">Closing cash</t>
  </si>
  <si>
    <t xml:space="preserve">Loans outstanding</t>
  </si>
  <si>
    <t xml:space="preserve">Every figure here is pulled from the statements. Change an assumption and this page moves with it.</t>
  </si>
  <si>
    <t xml:space="preserve">Fill in the four input sheets. The four statements build themselves.</t>
  </si>
  <si>
    <t xml:space="preserve">How to use this</t>
  </si>
  <si>
    <t xml:space="preserve">1.  Set your assumptions below — start month, opening cash, tax rate, payment terms.</t>
  </si>
  <si>
    <t xml:space="preserve">2.  Enter your revenue streams on the Revenue sheet (units per month and a price each).</t>
  </si>
  <si>
    <t xml:space="preserve">3.  Enter your costs on the Costs sheet, then your team on the Personnel sheet.</t>
  </si>
  <si>
    <t xml:space="preserve">4.  Read the Income statement, Cash flow, Balance sheet and Break-even. You never</t>
  </si>
  <si>
    <t xml:space="preserve">     type anything on those four.</t>
  </si>
  <si>
    <t xml:space="preserve">The figures already in the file are a worked example so you can see the model running. Type over them.</t>
  </si>
  <si>
    <t xml:space="preserve">Your assumptions</t>
  </si>
  <si>
    <t xml:space="preserve">Business name</t>
  </si>
  <si>
    <t xml:space="preserve">Example Trading Co.</t>
  </si>
  <si>
    <t xml:space="preserve">Text</t>
  </si>
  <si>
    <t xml:space="preserve">Forecast starts</t>
  </si>
  <si>
    <t xml:space="preserve">Date</t>
  </si>
  <si>
    <t xml:space="preserve">Opening cash balance</t>
  </si>
  <si>
    <t xml:space="preserve">Money</t>
  </si>
  <si>
    <t xml:space="preserve">Corporate tax rate</t>
  </si>
  <si>
    <t xml:space="preserve">Percent</t>
  </si>
  <si>
    <t xml:space="preserve">Customers pay after (days)</t>
  </si>
  <si>
    <t xml:space="preserve">Days</t>
  </si>
  <si>
    <t xml:space="preserve">You pay suppliers after (days)</t>
  </si>
  <si>
    <t xml:space="preserve">Employer cost on top of salary</t>
  </si>
  <si>
    <t xml:space="preserve">Growth — year 2</t>
  </si>
  <si>
    <t xml:space="preserve">Growth — year 3</t>
  </si>
  <si>
    <t xml:space="preserve">Growth — year 4</t>
  </si>
  <si>
    <t xml:space="preserve">Growth — year 5</t>
  </si>
  <si>
    <t xml:space="preserve">Overheads grow at (years 2–5)</t>
  </si>
  <si>
    <t xml:space="preserve">Customer payment lag (months)</t>
  </si>
  <si>
    <t xml:space="preserve">Supplier payment lag (months)</t>
  </si>
  <si>
    <t xml:space="preserve">Years 2–5: revenue and cost of sales grow at the yearly rate above; overheads and payroll grow at their own, slower rate.</t>
  </si>
  <si>
    <t xml:space="preserve">That gap is where margin comes from. If overheads rise as fast as sales, the business never gets better at making money.</t>
  </si>
  <si>
    <t xml:space="preserve">Enter how many units you sell each month and what each one costs. Revenue calculates below.</t>
  </si>
  <si>
    <t xml:space="preserve">Units sold each month</t>
  </si>
  <si>
    <t xml:space="preserve">Price each</t>
  </si>
  <si>
    <t xml:space="preserve">Product sales</t>
  </si>
  <si>
    <t xml:space="preserve">Monthly subscription</t>
  </si>
  <si>
    <t xml:space="preserve">Consulting days</t>
  </si>
  <si>
    <t xml:space="preserve">Total revenue</t>
  </si>
  <si>
    <t xml:space="preserve">Cost of sales moves with revenue. Operating expenses are what you pay whether you sell or not.</t>
  </si>
  <si>
    <t xml:space="preserve">Cost of sales</t>
  </si>
  <si>
    <t xml:space="preserve">% of revenue</t>
  </si>
  <si>
    <t xml:space="preserve">Materials and stock</t>
  </si>
  <si>
    <t xml:space="preserve">Payment processing</t>
  </si>
  <si>
    <t xml:space="preserve">Delivery</t>
  </si>
  <si>
    <t xml:space="preserve">Total cost of sales</t>
  </si>
  <si>
    <t xml:space="preserve">Operating expenses</t>
  </si>
  <si>
    <t xml:space="preserve">Rent and utilities</t>
  </si>
  <si>
    <t xml:space="preserve">Software and tools</t>
  </si>
  <si>
    <t xml:space="preserve">Marketing</t>
  </si>
  <si>
    <t xml:space="preserve">Insurance</t>
  </si>
  <si>
    <t xml:space="preserve">Accounting and legal</t>
  </si>
  <si>
    <t xml:space="preserve">Other</t>
  </si>
  <si>
    <t xml:space="preserve">Total operating expenses</t>
  </si>
  <si>
    <t xml:space="preserve">Salaries plus the employer cost on top. A role costs nothing until the month it starts.</t>
  </si>
  <si>
    <t xml:space="preserve">Role</t>
  </si>
  <si>
    <t xml:space="preserve">How many</t>
  </si>
  <si>
    <t xml:space="preserve">Salary each</t>
  </si>
  <si>
    <t xml:space="preserve">Starts in month</t>
  </si>
  <si>
    <t xml:space="preserve">Founder / owner</t>
  </si>
  <si>
    <t xml:space="preserve">Part-time assistant</t>
  </si>
  <si>
    <t xml:space="preserve">Total personnel cost</t>
  </si>
  <si>
    <t xml:space="preserve">Employer cost on top of salary is set on the Start here sheet.</t>
  </si>
  <si>
    <t xml:space="preserve">Equipment you buy, money you borrow, money you put in. Year 1 is modelled month by month.</t>
  </si>
  <si>
    <t xml:space="preserve">Fixed assets</t>
  </si>
  <si>
    <t xml:space="preserve">Cost</t>
  </si>
  <si>
    <t xml:space="preserve">Bought in month</t>
  </si>
  <si>
    <t xml:space="preserve">Life (years)</t>
  </si>
  <si>
    <t xml:space="preserve">Equipment</t>
  </si>
  <si>
    <t xml:space="preserve">Fit-out</t>
  </si>
  <si>
    <t xml:space="preserve">Computers</t>
  </si>
  <si>
    <t xml:space="preserve">Depreciation charge</t>
  </si>
  <si>
    <t xml:space="preserve">Equipment bought (cash out)</t>
  </si>
  <si>
    <t xml:space="preserve">Full-year depreciation (years 2-5)</t>
  </si>
  <si>
    <t xml:space="preserve">Loans</t>
  </si>
  <si>
    <t xml:space="preserve">Amount</t>
  </si>
  <si>
    <t xml:space="preserve">Drawn in month</t>
  </si>
  <si>
    <t xml:space="preserve">Term (months)</t>
  </si>
  <si>
    <t xml:space="preserve">Interest rate</t>
  </si>
  <si>
    <t xml:space="preserve">Equipment loan</t>
  </si>
  <si>
    <t xml:space="preserve">   drawn</t>
  </si>
  <si>
    <t xml:space="preserve">   interest</t>
  </si>
  <si>
    <t xml:space="preserve">   principal repaid</t>
  </si>
  <si>
    <t xml:space="preserve">   balance outstanding</t>
  </si>
  <si>
    <t xml:space="preserve">Total loans drawn</t>
  </si>
  <si>
    <t xml:space="preserve">Total interest</t>
  </si>
  <si>
    <t xml:space="preserve">Total principal repaid</t>
  </si>
  <si>
    <t xml:space="preserve">Total loans outstanding</t>
  </si>
  <si>
    <t xml:space="preserve">Capital introduced</t>
  </si>
  <si>
    <t xml:space="preserve">In month</t>
  </si>
  <si>
    <t xml:space="preserve">Owner investment</t>
  </si>
  <si>
    <t xml:space="preserve">Total capital introduced</t>
  </si>
  <si>
    <t xml:space="preserve">Years 2-5 keep depreciating at the full-year rate above and carry on repaying the loans. If an asset's life ends inside the forecast, drop that rate by hand.</t>
  </si>
  <si>
    <t xml:space="preserve">Principal is repaid in equal instalments from the month after drawdown. Interest is charged on the balance outstanding.</t>
  </si>
  <si>
    <t xml:space="preserve">Profit and loss. Nothing here is typed in - every figure comes from the sheets before it.</t>
  </si>
  <si>
    <t xml:space="preserve">Depreciation</t>
  </si>
  <si>
    <t xml:space="preserve">Operating profit</t>
  </si>
  <si>
    <t xml:space="preserve">Interest</t>
  </si>
  <si>
    <t xml:space="preserve">Profit before tax</t>
  </si>
  <si>
    <t xml:space="preserve">Tax</t>
  </si>
  <si>
    <t xml:space="preserve">Depreciation is a cost but not a payment, which is why it sits here and not on the cash flow.</t>
  </si>
  <si>
    <t xml:space="preserve">When the money actually moves. Profitable months can still run the bank account down.</t>
  </si>
  <si>
    <t xml:space="preserve">Opening cash</t>
  </si>
  <si>
    <t xml:space="preserve">Cash in - from customers</t>
  </si>
  <si>
    <t xml:space="preserve">Cash in - loan drawn</t>
  </si>
  <si>
    <t xml:space="preserve">Cash in - capital introduced</t>
  </si>
  <si>
    <t xml:space="preserve">Cash out - cost of sales</t>
  </si>
  <si>
    <t xml:space="preserve">Cash out - operating expenses</t>
  </si>
  <si>
    <t xml:space="preserve">Cash out - personnel</t>
  </si>
  <si>
    <t xml:space="preserve">Cash out - interest</t>
  </si>
  <si>
    <t xml:space="preserve">Cash out - loan repayment</t>
  </si>
  <si>
    <t xml:space="preserve">Cash out - equipment</t>
  </si>
  <si>
    <t xml:space="preserve">Cash out - tax</t>
  </si>
  <si>
    <t xml:space="preserve">Net movement</t>
  </si>
  <si>
    <t xml:space="preserve">Lowest closing cash in year 1</t>
  </si>
  <si>
    <t xml:space="preserve">If that number is negative, this plan runs out of money. Raise more, spend less, or get paid sooner.</t>
  </si>
  <si>
    <t xml:space="preserve">Depreciation is absent on purpose - it never leaves the bank. Tax is assumed paid in the month it is charged, and losses are not carried across years.</t>
  </si>
  <si>
    <t xml:space="preserve">What the business owns and owes at the end of each period. The check row must read zero.</t>
  </si>
  <si>
    <t xml:space="preserve">Cash</t>
  </si>
  <si>
    <t xml:space="preserve">Owed by customers</t>
  </si>
  <si>
    <t xml:space="preserve">Equipment at cost</t>
  </si>
  <si>
    <t xml:space="preserve">Less accumulated depreciation</t>
  </si>
  <si>
    <t xml:space="preserve">Total assets</t>
  </si>
  <si>
    <t xml:space="preserve">Owed to suppliers</t>
  </si>
  <si>
    <t xml:space="preserve">Total liabilities</t>
  </si>
  <si>
    <t xml:space="preserve">Retained profit</t>
  </si>
  <si>
    <t xml:space="preserve">Total equity</t>
  </si>
  <si>
    <t xml:space="preserve">Liabilities + equity</t>
  </si>
  <si>
    <t xml:space="preserve">Check - must be zero</t>
  </si>
  <si>
    <t xml:space="preserve">If the check row is not zero, something has been changed that breaks the model - assets must always equal what funded them.</t>
  </si>
  <si>
    <t xml:space="preserve">Opening cash counts as capital you put in, alongside anything on the Capital sheet. Stock is not modelled: this template assumes you do not hold any.</t>
  </si>
  <si>
    <t xml:space="preserve">How much you have to sell to cover your fixed costs. Below this line the month loses money.</t>
  </si>
  <si>
    <t xml:space="preserve">Fixed costs (overheads, payroll, depreciation, interest)</t>
  </si>
  <si>
    <t xml:space="preserve">Contribution margin</t>
  </si>
  <si>
    <t xml:space="preserve">Revenue needed to break even</t>
  </si>
  <si>
    <t xml:space="preserve">Revenue actually forecast</t>
  </si>
  <si>
    <t xml:space="preserve">Above / below break-even</t>
  </si>
  <si>
    <t xml:space="preserve">Covering fixed costs?</t>
  </si>
  <si>
    <t xml:space="preserve">First month you break even</t>
  </si>
  <si>
    <t xml:space="preserve">Contribution margin is what is left from a sale after the cost of making it. Fixed costs divided by that margin is the revenue you need.</t>
  </si>
  <si>
    <t xml:space="preserve">Every cost of sale counts as variable and everything else as fixed. If a chunk of your overhead actually moves with sales, this will read optimistic.</t>
  </si>
</sst>
</file>

<file path=xl/styles.xml><?xml version="1.0" encoding="utf-8"?>
<styleSheet xmlns="http://schemas.openxmlformats.org/spreadsheetml/2006/main">
  <numFmts count="7">
    <numFmt numFmtId="164" formatCode="General"/>
    <numFmt numFmtId="165" formatCode="#,##0;[RED]\-#,##0"/>
    <numFmt numFmtId="166" formatCode="0.0%"/>
    <numFmt numFmtId="167" formatCode="[$-409]mmm\ yyyy"/>
    <numFmt numFmtId="168" formatCode="0"/>
    <numFmt numFmtId="169" formatCode="General"/>
    <numFmt numFmtId="170" formatCode="#,##0"/>
  </numFmts>
  <fonts count="16">
    <font>
      <sz val="11"/>
      <color theme="1"/>
      <name val="Calibri"/>
      <family val="2"/>
      <charset val="1"/>
    </font>
    <font>
      <sz val="10"/>
      <name val="Arial"/>
      <family val="0"/>
    </font>
    <font>
      <sz val="10"/>
      <name val="Arial"/>
      <family val="0"/>
    </font>
    <font>
      <sz val="10"/>
      <name val="Arial"/>
      <family val="0"/>
    </font>
    <font>
      <b val="true"/>
      <sz val="26"/>
      <color rgb="FF1C0C26"/>
      <name val="Calibri"/>
      <family val="0"/>
      <charset val="1"/>
    </font>
    <font>
      <sz val="11"/>
      <color rgb="FF55505C"/>
      <name val="Calibri"/>
      <family val="0"/>
      <charset val="1"/>
    </font>
    <font>
      <b val="true"/>
      <sz val="10"/>
      <color rgb="FF1C0C26"/>
      <name val="Calibri"/>
      <family val="0"/>
      <charset val="1"/>
    </font>
    <font>
      <b val="true"/>
      <sz val="10"/>
      <color rgb="FF4F50E6"/>
      <name val="Calibri"/>
      <family val="0"/>
      <charset val="1"/>
    </font>
    <font>
      <sz val="10"/>
      <color rgb="FF1C0C26"/>
      <name val="Calibri"/>
      <family val="0"/>
      <charset val="1"/>
    </font>
    <font>
      <b val="true"/>
      <u val="single"/>
      <sz val="12"/>
      <color rgb="FF4F50E6"/>
      <name val="Calibri"/>
      <family val="0"/>
      <charset val="1"/>
    </font>
    <font>
      <i val="true"/>
      <sz val="9"/>
      <color rgb="FF7A7580"/>
      <name val="Calibri"/>
      <family val="0"/>
      <charset val="1"/>
    </font>
    <font>
      <b val="true"/>
      <sz val="16"/>
      <color rgb="FF1C0C26"/>
      <name val="Calibri"/>
      <family val="0"/>
      <charset val="1"/>
    </font>
    <font>
      <sz val="10"/>
      <color rgb="FF55505C"/>
      <name val="Calibri"/>
      <family val="0"/>
      <charset val="1"/>
    </font>
    <font>
      <b val="true"/>
      <sz val="10"/>
      <color rgb="FFFFFFFF"/>
      <name val="Calibri"/>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F7F7F8"/>
        <bgColor rgb="FFF9F9F9"/>
      </patternFill>
    </fill>
    <fill>
      <patternFill patternType="solid">
        <fgColor rgb="FF1C0C26"/>
        <bgColor rgb="FF000000"/>
      </patternFill>
    </fill>
    <fill>
      <patternFill patternType="solid">
        <fgColor rgb="FFEEF0FF"/>
        <bgColor rgb="FFF7F7F8"/>
      </patternFill>
    </fill>
  </fills>
  <borders count="2">
    <border diagonalUp="false" diagonalDown="false">
      <left/>
      <right/>
      <top/>
      <bottom/>
      <diagonal/>
    </border>
    <border diagonalUp="false" diagonalDown="false">
      <left/>
      <right/>
      <top style="thin">
        <color rgb="FFD9D9E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6" fontId="7"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7" fontId="6" fillId="4"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6" fontId="6" fillId="4" borderId="0" xfId="0" applyFont="true" applyBorder="false" applyAlignment="false" applyProtection="false">
      <alignment horizontal="general" vertical="bottom" textRotation="0" wrapText="false" indent="0" shrinkToFit="false"/>
      <protection locked="true" hidden="false"/>
    </xf>
    <xf numFmtId="168" fontId="6" fillId="4" borderId="0" xfId="0" applyFont="true" applyBorder="false" applyAlignment="false" applyProtection="false">
      <alignment horizontal="general" vertical="bottom" textRotation="0" wrapText="false" indent="0" shrinkToFit="false"/>
      <protection locked="true" hidden="false"/>
    </xf>
    <xf numFmtId="169" fontId="10" fillId="2"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70" fontId="8" fillId="4"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8" fillId="4" borderId="0" xfId="0" applyFont="tru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8" fontId="8" fillId="4" borderId="0" xfId="0" applyFont="true" applyBorder="false" applyAlignment="false" applyProtection="false">
      <alignment horizontal="general" vertical="bottom" textRotation="0" wrapText="false" indent="0" shrinkToFit="false"/>
      <protection locked="true" hidden="false"/>
    </xf>
    <xf numFmtId="166" fontId="8" fillId="4" borderId="0" xfId="0" applyFont="true" applyBorder="false" applyAlignment="false" applyProtection="false">
      <alignment horizontal="general" vertical="bottom" textRotation="0" wrapText="fals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5"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1C0C26"/>
      <rgbColor rgb="FF808000"/>
      <rgbColor rgb="FF800080"/>
      <rgbColor rgb="FF008080"/>
      <rgbColor rgb="FFD9D9D9"/>
      <rgbColor rgb="FF878787"/>
      <rgbColor rgb="FF9999FF"/>
      <rgbColor rgb="FFBE4B48"/>
      <rgbColor rgb="FFF9F9F9"/>
      <rgbColor rgb="FFEEF0FF"/>
      <rgbColor rgb="FF660066"/>
      <rgbColor rgb="FFFF8080"/>
      <rgbColor rgb="FF0066CC"/>
      <rgbColor rgb="FFD9D9E0"/>
      <rgbColor rgb="FF000080"/>
      <rgbColor rgb="FFFF00FF"/>
      <rgbColor rgb="FFFFFF00"/>
      <rgbColor rgb="FF00FFFF"/>
      <rgbColor rgb="FF800080"/>
      <rgbColor rgb="FF800000"/>
      <rgbColor rgb="FF008080"/>
      <rgbColor rgb="FF0000FF"/>
      <rgbColor rgb="FF00CCFF"/>
      <rgbColor rgb="FFF7F7F8"/>
      <rgbColor rgb="FFCCFFCC"/>
      <rgbColor rgb="FFFFFF99"/>
      <rgbColor rgb="FF99CCFF"/>
      <rgbColor rgb="FFFF99CC"/>
      <rgbColor rgb="FFCC99FF"/>
      <rgbColor rgb="FFFFCC99"/>
      <rgbColor rgb="FF4F50E6"/>
      <rgbColor rgb="FF33CCCC"/>
      <rgbColor rgb="FF99CC00"/>
      <rgbColor rgb="FFFFCC00"/>
      <rgbColor rgb="FFFF9900"/>
      <rgbColor rgb="FFFF6600"/>
      <rgbColor rgb="FF7A7580"/>
      <rgbColor rgb="FF969696"/>
      <rgbColor rgb="FF003366"/>
      <rgbColor rgb="FF4F81BD"/>
      <rgbColor rgb="FF003300"/>
      <rgbColor rgb="FF333300"/>
      <rgbColor rgb="FF993300"/>
      <rgbColor rgb="FFC0504D"/>
      <rgbColor rgb="FF333399"/>
      <rgbColor rgb="FF55505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and net profit by year</a:t>
            </a:r>
          </a:p>
        </c:rich>
      </c:tx>
      <c:overlay val="0"/>
      <c:spPr>
        <a:noFill/>
        <a:ln w="0">
          <a:noFill/>
        </a:ln>
      </c:spPr>
    </c:title>
    <c:autoTitleDeleted val="0"/>
    <c:plotArea>
      <c:barChart>
        <c:barDir val="col"/>
        <c:grouping val="clustered"/>
        <c:varyColors val="0"/>
        <c:ser>
          <c:idx val="0"/>
          <c:order val="0"/>
          <c:tx>
            <c:strRef>
              <c:f>Summary!A14</c:f>
              <c:strCache>
                <c:ptCount val="1"/>
                <c:pt idx="0">
                  <c:v>Revenue</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Summary!$B$13:$F$13</c:f>
              <c:strCache>
                <c:ptCount val="5"/>
                <c:pt idx="0">
                  <c:v>Year 1</c:v>
                </c:pt>
                <c:pt idx="1">
                  <c:v>Year 2</c:v>
                </c:pt>
                <c:pt idx="2">
                  <c:v>Year 3</c:v>
                </c:pt>
                <c:pt idx="3">
                  <c:v>Year 4</c:v>
                </c:pt>
                <c:pt idx="4">
                  <c:v>Year 5</c:v>
                </c:pt>
              </c:strCache>
            </c:strRef>
          </c:cat>
          <c:val>
            <c:numRef>
              <c:f>Summary!$B$14:$F$14</c:f>
              <c:numCache>
                <c:formatCode>#,##0;[RED]\-#,##0</c:formatCode>
                <c:ptCount val="5"/>
                <c:pt idx="0">
                  <c:v>129564</c:v>
                </c:pt>
                <c:pt idx="1">
                  <c:v>174911.4</c:v>
                </c:pt>
                <c:pt idx="2">
                  <c:v>218639.25</c:v>
                </c:pt>
                <c:pt idx="3">
                  <c:v>257994.315</c:v>
                </c:pt>
                <c:pt idx="4">
                  <c:v>288953.6328</c:v>
                </c:pt>
              </c:numCache>
            </c:numRef>
          </c:val>
        </c:ser>
        <c:ser>
          <c:idx val="1"/>
          <c:order val="1"/>
          <c:tx>
            <c:strRef>
              <c:f>Summary!A17</c:f>
              <c:strCache>
                <c:ptCount val="1"/>
                <c:pt idx="0">
                  <c:v>Net profit</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Summary!$B$13:$F$13</c:f>
              <c:strCache>
                <c:ptCount val="5"/>
                <c:pt idx="0">
                  <c:v>Year 1</c:v>
                </c:pt>
                <c:pt idx="1">
                  <c:v>Year 2</c:v>
                </c:pt>
                <c:pt idx="2">
                  <c:v>Year 3</c:v>
                </c:pt>
                <c:pt idx="3">
                  <c:v>Year 4</c:v>
                </c:pt>
                <c:pt idx="4">
                  <c:v>Year 5</c:v>
                </c:pt>
              </c:strCache>
            </c:strRef>
          </c:cat>
          <c:val>
            <c:numRef>
              <c:f>Summary!$B$17:$F$17</c:f>
              <c:numCache>
                <c:formatCode>#,##0;[RED]\-#,##0</c:formatCode>
                <c:ptCount val="5"/>
                <c:pt idx="0">
                  <c:v>-3213.55375000001</c:v>
                </c:pt>
                <c:pt idx="1">
                  <c:v>13182.7397433333</c:v>
                </c:pt>
                <c:pt idx="2">
                  <c:v>27824.9540583333</c:v>
                </c:pt>
                <c:pt idx="3">
                  <c:v>39690.2371218334</c:v>
                </c:pt>
                <c:pt idx="4">
                  <c:v>46650.7517086534</c:v>
                </c:pt>
              </c:numCache>
            </c:numRef>
          </c:val>
        </c:ser>
        <c:gapWidth val="150"/>
        <c:overlap val="0"/>
        <c:axId val="95023979"/>
        <c:axId val="70151737"/>
      </c:barChart>
      <c:catAx>
        <c:axId val="9502397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151737"/>
        <c:crosses val="autoZero"/>
        <c:auto val="1"/>
        <c:lblAlgn val="ctr"/>
        <c:lblOffset val="100"/>
        <c:noMultiLvlLbl val="0"/>
      </c:catAx>
      <c:valAx>
        <c:axId val="70151737"/>
        <c:scaling>
          <c:orientation val="minMax"/>
        </c:scaling>
        <c:delete val="0"/>
        <c:axPos val="l"/>
        <c:majorGridlines>
          <c:spPr>
            <a:ln w="9360">
              <a:solidFill>
                <a:srgbClr val="878787"/>
              </a:solidFill>
              <a:round/>
            </a:ln>
          </c:spPr>
        </c:majorGridlines>
        <c:numFmt formatCode="#,##0;[RED]\-#,##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02397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balance, month by month (year 1)</a:t>
            </a:r>
          </a:p>
        </c:rich>
      </c:tx>
      <c:overlay val="0"/>
      <c:spPr>
        <a:noFill/>
        <a:ln w="0">
          <a:noFill/>
        </a:ln>
      </c:spPr>
    </c:title>
    <c:autoTitleDeleted val="0"/>
    <c:plotArea>
      <c:lineChart>
        <c:grouping val="standard"/>
        <c:varyColors val="0"/>
        <c:ser>
          <c:idx val="0"/>
          <c:order val="0"/>
          <c:tx>
            <c:strRef>
              <c:f>'Cash flow'!A20</c:f>
              <c:strCache>
                <c:ptCount val="1"/>
                <c:pt idx="0">
                  <c:v>Closing cash</c:v>
                </c:pt>
              </c:strCache>
            </c:strRef>
          </c:tx>
          <c:spPr>
            <a:solidFill>
              <a:srgbClr val="be4b48"/>
            </a:solidFill>
            <a:ln w="4752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flow'!$C$4:$N$4</c:f>
              <c:strCache>
                <c:ptCount val="12"/>
                <c:pt idx="0">
                  <c:v>Jan 2027</c:v>
                </c:pt>
                <c:pt idx="1">
                  <c:v>Feb 2027</c:v>
                </c:pt>
                <c:pt idx="2">
                  <c:v>Mar 2027</c:v>
                </c:pt>
                <c:pt idx="3">
                  <c:v>Apr 2027</c:v>
                </c:pt>
                <c:pt idx="4">
                  <c:v>May 2027</c:v>
                </c:pt>
                <c:pt idx="5">
                  <c:v>Jun 2027</c:v>
                </c:pt>
                <c:pt idx="6">
                  <c:v>Jul 2027</c:v>
                </c:pt>
                <c:pt idx="7">
                  <c:v>Aug 2027</c:v>
                </c:pt>
                <c:pt idx="8">
                  <c:v>Sep 2027</c:v>
                </c:pt>
                <c:pt idx="9">
                  <c:v>Oct 2027</c:v>
                </c:pt>
                <c:pt idx="10">
                  <c:v>Nov 2027</c:v>
                </c:pt>
                <c:pt idx="11">
                  <c:v>Dec 2027</c:v>
                </c:pt>
              </c:strCache>
            </c:strRef>
          </c:cat>
          <c:val>
            <c:numRef>
              <c:f>'Cash flow'!$B$20:$N$20</c:f>
              <c:numCache>
                <c:formatCode>#,##0;[RED]\-#,##0</c:formatCode>
                <c:ptCount val="13"/>
                <c:pt idx="1">
                  <c:v>24750</c:v>
                </c:pt>
                <c:pt idx="2">
                  <c:v>20895.85</c:v>
                </c:pt>
                <c:pt idx="3">
                  <c:v>17240.54375</c:v>
                </c:pt>
                <c:pt idx="4">
                  <c:v>11269.15125</c:v>
                </c:pt>
                <c:pt idx="5">
                  <c:v>9094.8125</c:v>
                </c:pt>
                <c:pt idx="6">
                  <c:v>8184.9075</c:v>
                </c:pt>
                <c:pt idx="7">
                  <c:v>6308.57625</c:v>
                </c:pt>
                <c:pt idx="8">
                  <c:v>5759.50874999999</c:v>
                </c:pt>
                <c:pt idx="9">
                  <c:v>5650.84499999999</c:v>
                </c:pt>
                <c:pt idx="10">
                  <c:v>6932.27499999999</c:v>
                </c:pt>
                <c:pt idx="11">
                  <c:v>8716.93874999999</c:v>
                </c:pt>
                <c:pt idx="12">
                  <c:v>11954.52625</c:v>
                </c:pt>
              </c:numCache>
            </c:numRef>
          </c:val>
          <c:smooth val="1"/>
        </c:ser>
        <c:hiLowLines>
          <c:spPr>
            <a:ln w="0">
              <a:noFill/>
            </a:ln>
          </c:spPr>
        </c:hiLowLines>
        <c:marker val="0"/>
        <c:axId val="82674913"/>
        <c:axId val="77950957"/>
      </c:lineChart>
      <c:catAx>
        <c:axId val="82674913"/>
        <c:scaling>
          <c:orientation val="minMax"/>
        </c:scaling>
        <c:delete val="0"/>
        <c:axPos val="b"/>
        <c:numFmt formatCode="[$-409]mmm\ 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950957"/>
        <c:crosses val="autoZero"/>
        <c:auto val="1"/>
        <c:lblAlgn val="ctr"/>
        <c:lblOffset val="100"/>
        <c:noMultiLvlLbl val="0"/>
      </c:catAx>
      <c:valAx>
        <c:axId val="77950957"/>
        <c:scaling>
          <c:orientation val="minMax"/>
        </c:scaling>
        <c:delete val="0"/>
        <c:axPos val="l"/>
        <c:majorGridlines>
          <c:spPr>
            <a:ln w="9360">
              <a:solidFill>
                <a:srgbClr val="878787"/>
              </a:solidFill>
              <a:round/>
            </a:ln>
          </c:spPr>
        </c:majorGridlines>
        <c:numFmt formatCode="#,##0;[RED]\-#,##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67491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1618920</xdr:colOff>
      <xdr:row>1</xdr:row>
      <xdr:rowOff>342720</xdr:rowOff>
    </xdr:to>
    <xdr:pic>
      <xdr:nvPicPr>
        <xdr:cNvPr id="0" name="Image 1" descr="Picture"/>
        <xdr:cNvPicPr/>
      </xdr:nvPicPr>
      <xdr:blipFill>
        <a:blip r:embed="rId1"/>
        <a:stretch/>
      </xdr:blipFill>
      <xdr:spPr>
        <a:xfrm>
          <a:off x="281880" y="190440"/>
          <a:ext cx="1618920" cy="3427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23</xdr:row>
      <xdr:rowOff>0</xdr:rowOff>
    </xdr:from>
    <xdr:to>
      <xdr:col>3</xdr:col>
      <xdr:colOff>1107720</xdr:colOff>
      <xdr:row>38</xdr:row>
      <xdr:rowOff>21960</xdr:rowOff>
    </xdr:to>
    <xdr:graphicFrame>
      <xdr:nvGraphicFramePr>
        <xdr:cNvPr id="1" name="Chart 1"/>
        <xdr:cNvGraphicFramePr/>
      </xdr:nvGraphicFramePr>
      <xdr:xfrm>
        <a:off x="0" y="449568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42</xdr:row>
      <xdr:rowOff>0</xdr:rowOff>
    </xdr:from>
    <xdr:to>
      <xdr:col>3</xdr:col>
      <xdr:colOff>1107720</xdr:colOff>
      <xdr:row>57</xdr:row>
      <xdr:rowOff>22320</xdr:rowOff>
    </xdr:to>
    <xdr:graphicFrame>
      <xdr:nvGraphicFramePr>
        <xdr:cNvPr id="2" name="Chart 2"/>
        <xdr:cNvGraphicFramePr/>
      </xdr:nvGraphicFramePr>
      <xdr:xfrm>
        <a:off x="0" y="8115480"/>
        <a:ext cx="575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upmetrics.co/?utm_source=excel-template&amp;utm_medium=file&amp;utm_campaign=business-plan-financial-template"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453125" defaultRowHeight="15" zeroHeight="false" outlineLevelRow="0" outlineLevelCol="0"/>
  <cols>
    <col collapsed="false" customWidth="true" hidden="false" outlineLevel="0" max="1" min="1" style="0" width="4"/>
    <col collapsed="false" customWidth="true" hidden="false" outlineLevel="0" max="2" min="2" style="0" width="46"/>
    <col collapsed="false" customWidth="true" hidden="false" outlineLevel="0" max="3" min="3" style="0" width="62"/>
  </cols>
  <sheetData>
    <row r="2" customFormat="false" ht="33.75" hidden="false" customHeight="true" outlineLevel="0" collapsed="false"/>
    <row r="3" customFormat="false" ht="9.75" hidden="false" customHeight="true" outlineLevel="0" collapsed="false"/>
    <row r="4" customFormat="false" ht="9.75" hidden="false" customHeight="true" outlineLevel="0" collapsed="false"/>
    <row r="6" customFormat="false" ht="36" hidden="false" customHeight="true" outlineLevel="0" collapsed="false">
      <c r="B6" s="1" t="s">
        <v>0</v>
      </c>
    </row>
    <row r="8" customFormat="false" ht="27.75" hidden="false" customHeight="true" outlineLevel="0" collapsed="false">
      <c r="B8" s="2" t="s">
        <v>1</v>
      </c>
      <c r="C8" s="2"/>
    </row>
    <row r="10" customFormat="false" ht="15" hidden="false" customHeight="false" outlineLevel="0" collapsed="false">
      <c r="B10" s="3" t="s">
        <v>2</v>
      </c>
      <c r="C10" s="4"/>
    </row>
    <row r="11" customFormat="false" ht="15" hidden="false" customHeight="false" outlineLevel="0" collapsed="false">
      <c r="B11" s="5" t="s">
        <v>3</v>
      </c>
      <c r="C11" s="6" t="s">
        <v>4</v>
      </c>
    </row>
    <row r="12" customFormat="false" ht="15" hidden="false" customHeight="false" outlineLevel="0" collapsed="false">
      <c r="B12" s="5" t="s">
        <v>5</v>
      </c>
      <c r="C12" s="6" t="s">
        <v>6</v>
      </c>
    </row>
    <row r="13" customFormat="false" ht="15" hidden="false" customHeight="false" outlineLevel="0" collapsed="false">
      <c r="B13" s="5" t="s">
        <v>7</v>
      </c>
      <c r="C13" s="6" t="s">
        <v>8</v>
      </c>
    </row>
    <row r="14" customFormat="false" ht="15" hidden="false" customHeight="false" outlineLevel="0" collapsed="false">
      <c r="B14" s="5" t="s">
        <v>9</v>
      </c>
      <c r="C14" s="6" t="s">
        <v>10</v>
      </c>
    </row>
    <row r="15" customFormat="false" ht="15" hidden="false" customHeight="false" outlineLevel="0" collapsed="false">
      <c r="B15" s="5" t="s">
        <v>11</v>
      </c>
      <c r="C15" s="6" t="s">
        <v>12</v>
      </c>
    </row>
    <row r="16" customFormat="false" ht="15" hidden="false" customHeight="false" outlineLevel="0" collapsed="false">
      <c r="B16" s="5" t="s">
        <v>13</v>
      </c>
      <c r="C16" s="6" t="s">
        <v>14</v>
      </c>
    </row>
    <row r="17" customFormat="false" ht="15" hidden="false" customHeight="false" outlineLevel="0" collapsed="false">
      <c r="B17" s="5" t="s">
        <v>15</v>
      </c>
      <c r="C17" s="6" t="s">
        <v>16</v>
      </c>
    </row>
    <row r="18" customFormat="false" ht="15" hidden="false" customHeight="false" outlineLevel="0" collapsed="false">
      <c r="B18" s="5" t="s">
        <v>17</v>
      </c>
      <c r="C18" s="6" t="s">
        <v>18</v>
      </c>
    </row>
    <row r="19" customFormat="false" ht="15" hidden="false" customHeight="false" outlineLevel="0" collapsed="false">
      <c r="B19" s="5" t="s">
        <v>19</v>
      </c>
      <c r="C19" s="6" t="s">
        <v>20</v>
      </c>
    </row>
    <row r="20" customFormat="false" ht="15" hidden="false" customHeight="false" outlineLevel="0" collapsed="false">
      <c r="B20" s="5" t="s">
        <v>21</v>
      </c>
      <c r="C20" s="6" t="s">
        <v>22</v>
      </c>
    </row>
    <row r="22" customFormat="false" ht="15" hidden="false" customHeight="false" outlineLevel="0" collapsed="false">
      <c r="B22" s="3" t="s">
        <v>23</v>
      </c>
      <c r="C22" s="4"/>
    </row>
    <row r="23" customFormat="false" ht="15" hidden="false" customHeight="false" outlineLevel="0" collapsed="false">
      <c r="B23" s="7" t="s">
        <v>24</v>
      </c>
      <c r="C23" s="7"/>
    </row>
    <row r="24" customFormat="false" ht="15" hidden="false" customHeight="false" outlineLevel="0" collapsed="false">
      <c r="B24" s="7" t="s">
        <v>25</v>
      </c>
      <c r="C24" s="7"/>
    </row>
    <row r="25" customFormat="false" ht="15" hidden="false" customHeight="false" outlineLevel="0" collapsed="false">
      <c r="B25" s="7" t="s">
        <v>26</v>
      </c>
      <c r="C25" s="7"/>
    </row>
    <row r="26" customFormat="false" ht="15" hidden="false" customHeight="false" outlineLevel="0" collapsed="false">
      <c r="B26" s="7" t="s">
        <v>27</v>
      </c>
      <c r="C26" s="7"/>
    </row>
    <row r="28" customFormat="false" ht="15" hidden="false" customHeight="false" outlineLevel="0" collapsed="false">
      <c r="B28" s="8" t="s">
        <v>28</v>
      </c>
      <c r="C28" s="8"/>
    </row>
    <row r="30" customFormat="false" ht="15" hidden="false" customHeight="false" outlineLevel="0" collapsed="false">
      <c r="B30" s="3" t="s">
        <v>29</v>
      </c>
      <c r="C30" s="4"/>
    </row>
    <row r="31" customFormat="false" ht="31.5" hidden="false" customHeight="true" outlineLevel="0" collapsed="false">
      <c r="B31" s="9" t="s">
        <v>30</v>
      </c>
      <c r="C31" s="9"/>
    </row>
    <row r="33" customFormat="false" ht="15" hidden="false" customHeight="false" outlineLevel="0" collapsed="false">
      <c r="B33" s="10" t="s">
        <v>31</v>
      </c>
    </row>
    <row r="35" customFormat="false" ht="15" hidden="false" customHeight="false" outlineLevel="0" collapsed="false">
      <c r="B35" s="11" t="s">
        <v>32</v>
      </c>
    </row>
    <row r="36" customFormat="false" ht="72" hidden="false" customHeight="true" outlineLevel="0" collapsed="false">
      <c r="B36" s="12" t="s">
        <v>33</v>
      </c>
      <c r="C36" s="12"/>
    </row>
  </sheetData>
  <mergeCells count="8">
    <mergeCell ref="B8:C8"/>
    <mergeCell ref="B23:C23"/>
    <mergeCell ref="B24:C24"/>
    <mergeCell ref="B25:C25"/>
    <mergeCell ref="B26:C26"/>
    <mergeCell ref="B28:C28"/>
    <mergeCell ref="B31:C31"/>
    <mergeCell ref="B36:C36"/>
  </mergeCells>
  <hyperlinks>
    <hyperlink ref="B33" r:id="rId1" display="Try Upmetrics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453125" defaultRowHeight="15" zeroHeight="false" outlineLevelRow="0" outlineLevelCol="0"/>
  <cols>
    <col collapsed="false" customWidth="true" hidden="false" outlineLevel="0" max="1" min="1" style="0" width="34"/>
    <col collapsed="false" customWidth="true" hidden="false" outlineLevel="0" max="4" min="2" style="0" width="16"/>
    <col collapsed="false" customWidth="true" hidden="false" outlineLevel="0" max="19" min="5" style="0" width="12"/>
  </cols>
  <sheetData>
    <row r="1" customFormat="false" ht="24" hidden="false" customHeight="true" outlineLevel="0" collapsed="false">
      <c r="A1" s="13" t="s">
        <v>3</v>
      </c>
    </row>
    <row r="2" customFormat="false" ht="15" hidden="false" customHeight="false" outlineLevel="0" collapsed="false">
      <c r="A2" s="14" t="s">
        <v>34</v>
      </c>
    </row>
    <row r="4" customFormat="false" ht="15" hidden="false" customHeight="false" outlineLevel="0" collapsed="false">
      <c r="A4" s="3" t="s">
        <v>35</v>
      </c>
    </row>
    <row r="5" customFormat="false" ht="15" hidden="false" customHeight="false" outlineLevel="0" collapsed="false">
      <c r="A5" s="6" t="s">
        <v>7</v>
      </c>
      <c r="B5" s="15" t="n">
        <f aca="false">'Income statement'!O5</f>
        <v>129564</v>
      </c>
    </row>
    <row r="6" customFormat="false" ht="15" hidden="false" customHeight="false" outlineLevel="0" collapsed="false">
      <c r="A6" s="6" t="s">
        <v>36</v>
      </c>
      <c r="B6" s="16" t="n">
        <f aca="false">'Income statement'!O8</f>
        <v>0.61</v>
      </c>
    </row>
    <row r="7" customFormat="false" ht="15" hidden="false" customHeight="false" outlineLevel="0" collapsed="false">
      <c r="A7" s="6" t="s">
        <v>37</v>
      </c>
      <c r="B7" s="15" t="n">
        <f aca="false">'Income statement'!O17</f>
        <v>-3213.55375000001</v>
      </c>
    </row>
    <row r="8" customFormat="false" ht="15" hidden="false" customHeight="false" outlineLevel="0" collapsed="false">
      <c r="A8" s="6" t="s">
        <v>38</v>
      </c>
      <c r="B8" s="15" t="n">
        <f aca="false">'Cash flow'!C22</f>
        <v>5650.84499999999</v>
      </c>
    </row>
    <row r="9" customFormat="false" ht="15" hidden="false" customHeight="false" outlineLevel="0" collapsed="false">
      <c r="A9" s="6" t="s">
        <v>39</v>
      </c>
      <c r="B9" s="17" t="str">
        <f aca="false">'Break-even'!C14</f>
        <v>Aug 2027</v>
      </c>
    </row>
    <row r="10" customFormat="false" ht="15" hidden="false" customHeight="false" outlineLevel="0" collapsed="false">
      <c r="A10" s="6" t="s">
        <v>40</v>
      </c>
      <c r="B10" s="15" t="n">
        <f aca="false">'Cash flow'!S20</f>
        <v>145207.37554882</v>
      </c>
    </row>
    <row r="12" customFormat="false" ht="15" hidden="false" customHeight="false" outlineLevel="0" collapsed="false">
      <c r="A12" s="3" t="s">
        <v>41</v>
      </c>
    </row>
    <row r="13" customFormat="false" ht="15" hidden="false" customHeight="false" outlineLevel="0" collapsed="false">
      <c r="B13" s="18" t="s">
        <v>42</v>
      </c>
      <c r="C13" s="18" t="s">
        <v>43</v>
      </c>
      <c r="D13" s="18" t="s">
        <v>44</v>
      </c>
      <c r="E13" s="18" t="s">
        <v>45</v>
      </c>
      <c r="F13" s="18" t="s">
        <v>46</v>
      </c>
    </row>
    <row r="14" customFormat="false" ht="15" hidden="false" customHeight="false" outlineLevel="0" collapsed="false">
      <c r="A14" s="6" t="s">
        <v>7</v>
      </c>
      <c r="B14" s="19" t="n">
        <f aca="false">'Income statement'!O5</f>
        <v>129564</v>
      </c>
      <c r="C14" s="19" t="n">
        <f aca="false">'Income statement'!P5</f>
        <v>174911.4</v>
      </c>
      <c r="D14" s="19" t="n">
        <f aca="false">'Income statement'!Q5</f>
        <v>218639.25</v>
      </c>
      <c r="E14" s="19" t="n">
        <f aca="false">'Income statement'!R5</f>
        <v>257994.315</v>
      </c>
      <c r="F14" s="19" t="n">
        <f aca="false">'Income statement'!S5</f>
        <v>288953.6328</v>
      </c>
    </row>
    <row r="15" customFormat="false" ht="15" hidden="false" customHeight="false" outlineLevel="0" collapsed="false">
      <c r="A15" s="6" t="s">
        <v>47</v>
      </c>
      <c r="B15" s="19" t="n">
        <f aca="false">'Income statement'!O7</f>
        <v>79034.04</v>
      </c>
      <c r="C15" s="19" t="n">
        <f aca="false">'Income statement'!P7</f>
        <v>106695.954</v>
      </c>
      <c r="D15" s="19" t="n">
        <f aca="false">'Income statement'!Q7</f>
        <v>133369.9425</v>
      </c>
      <c r="E15" s="19" t="n">
        <f aca="false">'Income statement'!R7</f>
        <v>157376.53215</v>
      </c>
      <c r="F15" s="19" t="n">
        <f aca="false">'Income statement'!S7</f>
        <v>176261.716008</v>
      </c>
    </row>
    <row r="16" customFormat="false" ht="15" hidden="false" customHeight="false" outlineLevel="0" collapsed="false">
      <c r="A16" s="6" t="s">
        <v>48</v>
      </c>
      <c r="B16" s="19" t="n">
        <f aca="false">'Income statement'!O10+'Income statement'!O11</f>
        <v>77064</v>
      </c>
      <c r="C16" s="19" t="n">
        <f aca="false">'Income statement'!P10+'Income statement'!P11</f>
        <v>84770.4</v>
      </c>
      <c r="D16" s="19" t="n">
        <f aca="false">'Income statement'!Q10+'Income statement'!Q11</f>
        <v>93247.44</v>
      </c>
      <c r="E16" s="19" t="n">
        <f aca="false">'Income statement'!R10+'Income statement'!R11</f>
        <v>102572.184</v>
      </c>
      <c r="F16" s="19" t="n">
        <f aca="false">'Income statement'!S10+'Income statement'!S11</f>
        <v>112829.4024</v>
      </c>
    </row>
    <row r="17" customFormat="false" ht="15" hidden="false" customHeight="false" outlineLevel="0" collapsed="false">
      <c r="A17" s="3" t="s">
        <v>37</v>
      </c>
      <c r="B17" s="15" t="n">
        <f aca="false">'Income statement'!O17</f>
        <v>-3213.55375000001</v>
      </c>
      <c r="C17" s="15" t="n">
        <f aca="false">'Income statement'!P17</f>
        <v>13182.7397433333</v>
      </c>
      <c r="D17" s="15" t="n">
        <f aca="false">'Income statement'!Q17</f>
        <v>27824.9540583333</v>
      </c>
      <c r="E17" s="15" t="n">
        <f aca="false">'Income statement'!R17</f>
        <v>39690.2371218334</v>
      </c>
      <c r="F17" s="15" t="n">
        <f aca="false">'Income statement'!S17</f>
        <v>46650.7517086534</v>
      </c>
    </row>
    <row r="18" customFormat="false" ht="15" hidden="false" customHeight="false" outlineLevel="0" collapsed="false">
      <c r="A18" s="6" t="s">
        <v>49</v>
      </c>
      <c r="B18" s="20" t="n">
        <f aca="false">IF('Income statement'!O5=0,0,'Income statement'!O17/'Income statement'!O5)</f>
        <v>-0.0248028291037635</v>
      </c>
      <c r="C18" s="20" t="n">
        <f aca="false">IF('Income statement'!P5=0,0,'Income statement'!P17/'Income statement'!P5)</f>
        <v>0.0753680991824051</v>
      </c>
      <c r="D18" s="20" t="n">
        <f aca="false">IF('Income statement'!Q5=0,0,'Income statement'!Q17/'Income statement'!Q5)</f>
        <v>0.12726422203851</v>
      </c>
      <c r="E18" s="20" t="n">
        <f aca="false">IF('Income statement'!R5=0,0,'Income statement'!R17/'Income statement'!R5)</f>
        <v>0.153841518259165</v>
      </c>
      <c r="F18" s="20" t="n">
        <f aca="false">IF('Income statement'!S5=0,0,'Income statement'!S17/'Income statement'!S5)</f>
        <v>0.161447188798428</v>
      </c>
    </row>
    <row r="19" customFormat="false" ht="15" hidden="false" customHeight="false" outlineLevel="0" collapsed="false">
      <c r="A19" s="6" t="s">
        <v>50</v>
      </c>
      <c r="B19" s="19" t="n">
        <f aca="false">'Cash flow'!O20</f>
        <v>11954.52625</v>
      </c>
      <c r="C19" s="19" t="n">
        <f aca="false">'Cash flow'!P20</f>
        <v>25753.93266</v>
      </c>
      <c r="D19" s="19" t="n">
        <f aca="false">'Cash flow'!Q20</f>
        <v>54195.553385</v>
      </c>
      <c r="E19" s="19" t="n">
        <f aca="false">'Cash flow'!R20</f>
        <v>94502.4571735</v>
      </c>
      <c r="F19" s="19" t="n">
        <f aca="false">'Cash flow'!S20</f>
        <v>145207.37554882</v>
      </c>
    </row>
    <row r="20" customFormat="false" ht="15" hidden="false" customHeight="false" outlineLevel="0" collapsed="false">
      <c r="A20" s="6" t="s">
        <v>51</v>
      </c>
      <c r="B20" s="19" t="n">
        <f aca="false">'Balance sheet'!O12</f>
        <v>11562.5</v>
      </c>
      <c r="C20" s="19" t="n">
        <f aca="false">'Balance sheet'!P12</f>
        <v>7812.5</v>
      </c>
      <c r="D20" s="19" t="n">
        <f aca="false">'Balance sheet'!Q12</f>
        <v>4062.5</v>
      </c>
      <c r="E20" s="19" t="n">
        <f aca="false">'Balance sheet'!R12</f>
        <v>312.5</v>
      </c>
      <c r="F20" s="19" t="n">
        <f aca="false">'Balance sheet'!S12</f>
        <v>0</v>
      </c>
    </row>
    <row r="61" customFormat="false" ht="15" hidden="false" customHeight="false" outlineLevel="0" collapsed="false">
      <c r="A61" s="11" t="s">
        <v>52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453125" defaultRowHeight="15" zeroHeight="false" outlineLevelRow="0" outlineLevelCol="0"/>
  <cols>
    <col collapsed="false" customWidth="true" hidden="false" outlineLevel="0" max="1" min="1" style="0" width="42"/>
    <col collapsed="false" customWidth="true" hidden="false" outlineLevel="0" max="4" min="2" style="0" width="18"/>
    <col collapsed="false" customWidth="true" hidden="false" outlineLevel="0" max="19" min="5" style="0" width="12"/>
  </cols>
  <sheetData>
    <row r="1" customFormat="false" ht="24" hidden="false" customHeight="true" outlineLevel="0" collapsed="false">
      <c r="A1" s="13" t="s">
        <v>0</v>
      </c>
    </row>
    <row r="2" customFormat="false" ht="15" hidden="false" customHeight="false" outlineLevel="0" collapsed="false">
      <c r="A2" s="14" t="s">
        <v>53</v>
      </c>
    </row>
    <row r="4" customFormat="false" ht="15" hidden="false" customHeight="false" outlineLevel="0" collapsed="false">
      <c r="A4" s="21" t="s">
        <v>54</v>
      </c>
    </row>
    <row r="5" customFormat="false" ht="15" hidden="false" customHeight="false" outlineLevel="0" collapsed="false">
      <c r="A5" s="6" t="s">
        <v>55</v>
      </c>
    </row>
    <row r="6" customFormat="false" ht="15" hidden="false" customHeight="false" outlineLevel="0" collapsed="false">
      <c r="A6" s="6" t="s">
        <v>56</v>
      </c>
    </row>
    <row r="7" customFormat="false" ht="15" hidden="false" customHeight="false" outlineLevel="0" collapsed="false">
      <c r="A7" s="6" t="s">
        <v>57</v>
      </c>
    </row>
    <row r="8" customFormat="false" ht="15" hidden="false" customHeight="false" outlineLevel="0" collapsed="false">
      <c r="A8" s="6" t="s">
        <v>58</v>
      </c>
    </row>
    <row r="9" customFormat="false" ht="15" hidden="false" customHeight="false" outlineLevel="0" collapsed="false">
      <c r="A9" s="6" t="s">
        <v>59</v>
      </c>
    </row>
    <row r="10" customFormat="false" ht="15" hidden="false" customHeight="false" outlineLevel="0" collapsed="false">
      <c r="A10" s="5" t="s">
        <v>28</v>
      </c>
    </row>
    <row r="11" customFormat="false" ht="15" hidden="false" customHeight="false" outlineLevel="0" collapsed="false">
      <c r="A11" s="11" t="s">
        <v>60</v>
      </c>
    </row>
    <row r="13" customFormat="false" ht="15" hidden="false" customHeight="false" outlineLevel="0" collapsed="false">
      <c r="A13" s="3" t="s">
        <v>61</v>
      </c>
    </row>
    <row r="14" customFormat="false" ht="15" hidden="false" customHeight="false" outlineLevel="0" collapsed="false">
      <c r="A14" s="6" t="s">
        <v>62</v>
      </c>
      <c r="B14" s="22" t="s">
        <v>63</v>
      </c>
      <c r="C14" s="11" t="s">
        <v>64</v>
      </c>
    </row>
    <row r="15" customFormat="false" ht="15" hidden="false" customHeight="false" outlineLevel="0" collapsed="false">
      <c r="A15" s="6" t="s">
        <v>65</v>
      </c>
      <c r="B15" s="23" t="n">
        <f aca="false">DATE(2027,1,1)</f>
        <v>46388</v>
      </c>
      <c r="C15" s="11" t="s">
        <v>66</v>
      </c>
    </row>
    <row r="16" customFormat="false" ht="15" hidden="false" customHeight="false" outlineLevel="0" collapsed="false">
      <c r="A16" s="6" t="s">
        <v>67</v>
      </c>
      <c r="B16" s="24" t="n">
        <v>25000</v>
      </c>
      <c r="C16" s="11" t="s">
        <v>68</v>
      </c>
    </row>
    <row r="17" customFormat="false" ht="15" hidden="false" customHeight="false" outlineLevel="0" collapsed="false">
      <c r="A17" s="6" t="s">
        <v>69</v>
      </c>
      <c r="B17" s="25" t="n">
        <v>0.21</v>
      </c>
      <c r="C17" s="11" t="s">
        <v>70</v>
      </c>
    </row>
    <row r="18" customFormat="false" ht="15" hidden="false" customHeight="false" outlineLevel="0" collapsed="false">
      <c r="A18" s="6" t="s">
        <v>71</v>
      </c>
      <c r="B18" s="26" t="n">
        <v>30</v>
      </c>
      <c r="C18" s="11" t="s">
        <v>72</v>
      </c>
    </row>
    <row r="19" customFormat="false" ht="15" hidden="false" customHeight="false" outlineLevel="0" collapsed="false">
      <c r="A19" s="6" t="s">
        <v>73</v>
      </c>
      <c r="B19" s="26" t="n">
        <v>30</v>
      </c>
      <c r="C19" s="11" t="s">
        <v>72</v>
      </c>
    </row>
    <row r="20" customFormat="false" ht="15" hidden="false" customHeight="false" outlineLevel="0" collapsed="false">
      <c r="A20" s="6" t="s">
        <v>74</v>
      </c>
      <c r="B20" s="25" t="n">
        <v>0.12</v>
      </c>
      <c r="C20" s="11" t="s">
        <v>70</v>
      </c>
    </row>
    <row r="21" customFormat="false" ht="15" hidden="false" customHeight="false" outlineLevel="0" collapsed="false">
      <c r="A21" s="6" t="s">
        <v>75</v>
      </c>
      <c r="B21" s="25" t="n">
        <v>0.35</v>
      </c>
      <c r="C21" s="11" t="s">
        <v>70</v>
      </c>
    </row>
    <row r="22" customFormat="false" ht="15" hidden="false" customHeight="false" outlineLevel="0" collapsed="false">
      <c r="A22" s="6" t="s">
        <v>76</v>
      </c>
      <c r="B22" s="25" t="n">
        <v>0.25</v>
      </c>
      <c r="C22" s="11" t="s">
        <v>70</v>
      </c>
    </row>
    <row r="23" customFormat="false" ht="15" hidden="false" customHeight="false" outlineLevel="0" collapsed="false">
      <c r="A23" s="6" t="s">
        <v>77</v>
      </c>
      <c r="B23" s="25" t="n">
        <v>0.18</v>
      </c>
      <c r="C23" s="11" t="s">
        <v>70</v>
      </c>
    </row>
    <row r="24" customFormat="false" ht="15" hidden="false" customHeight="false" outlineLevel="0" collapsed="false">
      <c r="A24" s="6" t="s">
        <v>78</v>
      </c>
      <c r="B24" s="25" t="n">
        <v>0.12</v>
      </c>
      <c r="C24" s="11" t="s">
        <v>70</v>
      </c>
    </row>
    <row r="25" customFormat="false" ht="15" hidden="false" customHeight="false" outlineLevel="0" collapsed="false">
      <c r="A25" s="6" t="s">
        <v>79</v>
      </c>
      <c r="B25" s="25" t="n">
        <v>0.1</v>
      </c>
      <c r="C25" s="11" t="s">
        <v>70</v>
      </c>
    </row>
    <row r="27" customFormat="false" ht="15" hidden="false" customHeight="false" outlineLevel="0" collapsed="false">
      <c r="A27" s="11" t="s">
        <v>80</v>
      </c>
      <c r="B27" s="27" t="n">
        <f aca="false">ROUND(ARDays/30,0)</f>
        <v>1</v>
      </c>
    </row>
    <row r="28" customFormat="false" ht="15" hidden="false" customHeight="false" outlineLevel="0" collapsed="false">
      <c r="A28" s="11" t="s">
        <v>81</v>
      </c>
      <c r="B28" s="27" t="n">
        <f aca="false">ROUND(APDays/30,0)</f>
        <v>1</v>
      </c>
    </row>
    <row r="30" customFormat="false" ht="15" hidden="false" customHeight="false" outlineLevel="0" collapsed="false">
      <c r="A30" s="11" t="s">
        <v>82</v>
      </c>
    </row>
    <row r="31" customFormat="false" ht="15" hidden="false" customHeight="false" outlineLevel="0" collapsed="false">
      <c r="A31" s="11" t="s">
        <v>83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4"/>
    <col collapsed="false" customWidth="true" hidden="false" outlineLevel="0" max="4" min="2" style="0" width="14"/>
    <col collapsed="false" customWidth="true" hidden="false" outlineLevel="0" max="19" min="5" style="0" width="12"/>
  </cols>
  <sheetData>
    <row r="1" customFormat="false" ht="24" hidden="false" customHeight="true" outlineLevel="0" collapsed="false">
      <c r="A1" s="13" t="s">
        <v>7</v>
      </c>
    </row>
    <row r="2" customFormat="false" ht="15" hidden="false" customHeight="false" outlineLevel="0" collapsed="false">
      <c r="A2" s="14" t="s">
        <v>84</v>
      </c>
    </row>
    <row r="4" customFormat="false" ht="15" hidden="false" customHeight="false" outlineLevel="0" collapsed="false">
      <c r="A4" s="21" t="s">
        <v>85</v>
      </c>
      <c r="B4" s="28" t="s">
        <v>86</v>
      </c>
      <c r="C4" s="29" t="n">
        <f aca="false">EDATE(StartMonth,0)</f>
        <v>46388</v>
      </c>
      <c r="D4" s="29" t="n">
        <f aca="false">EDATE(StartMonth,1)</f>
        <v>46419</v>
      </c>
      <c r="E4" s="29" t="n">
        <f aca="false">EDATE(StartMonth,2)</f>
        <v>46447</v>
      </c>
      <c r="F4" s="29" t="n">
        <f aca="false">EDATE(StartMonth,3)</f>
        <v>46478</v>
      </c>
      <c r="G4" s="29" t="n">
        <f aca="false">EDATE(StartMonth,4)</f>
        <v>46508</v>
      </c>
      <c r="H4" s="29" t="n">
        <f aca="false">EDATE(StartMonth,5)</f>
        <v>46539</v>
      </c>
      <c r="I4" s="29" t="n">
        <f aca="false">EDATE(StartMonth,6)</f>
        <v>46569</v>
      </c>
      <c r="J4" s="29" t="n">
        <f aca="false">EDATE(StartMonth,7)</f>
        <v>46600</v>
      </c>
      <c r="K4" s="29" t="n">
        <f aca="false">EDATE(StartMonth,8)</f>
        <v>46631</v>
      </c>
      <c r="L4" s="29" t="n">
        <f aca="false">EDATE(StartMonth,9)</f>
        <v>46661</v>
      </c>
      <c r="M4" s="29" t="n">
        <f aca="false">EDATE(StartMonth,10)</f>
        <v>46692</v>
      </c>
      <c r="N4" s="29" t="n">
        <f aca="false">EDATE(StartMonth,11)</f>
        <v>46722</v>
      </c>
    </row>
    <row r="5" customFormat="false" ht="15" hidden="false" customHeight="false" outlineLevel="0" collapsed="false">
      <c r="A5" s="30" t="s">
        <v>87</v>
      </c>
      <c r="B5" s="24" t="n">
        <v>45</v>
      </c>
      <c r="C5" s="31" t="n">
        <v>30</v>
      </c>
      <c r="D5" s="31" t="n">
        <v>38</v>
      </c>
      <c r="E5" s="31" t="n">
        <v>46</v>
      </c>
      <c r="F5" s="31" t="n">
        <v>55</v>
      </c>
      <c r="G5" s="31" t="n">
        <v>64</v>
      </c>
      <c r="H5" s="31" t="n">
        <v>74</v>
      </c>
      <c r="I5" s="31" t="n">
        <v>84</v>
      </c>
      <c r="J5" s="31" t="n">
        <v>95</v>
      </c>
      <c r="K5" s="31" t="n">
        <v>106</v>
      </c>
      <c r="L5" s="31" t="n">
        <v>118</v>
      </c>
      <c r="M5" s="31" t="n">
        <v>130</v>
      </c>
      <c r="N5" s="31" t="n">
        <v>142</v>
      </c>
    </row>
    <row r="6" customFormat="false" ht="15" hidden="false" customHeight="false" outlineLevel="0" collapsed="false">
      <c r="A6" s="30" t="s">
        <v>88</v>
      </c>
      <c r="B6" s="24" t="n">
        <v>29</v>
      </c>
      <c r="C6" s="31" t="n">
        <v>15</v>
      </c>
      <c r="D6" s="31" t="n">
        <v>25</v>
      </c>
      <c r="E6" s="31" t="n">
        <v>38</v>
      </c>
      <c r="F6" s="31" t="n">
        <v>52</v>
      </c>
      <c r="G6" s="31" t="n">
        <v>68</v>
      </c>
      <c r="H6" s="31" t="n">
        <v>85</v>
      </c>
      <c r="I6" s="31" t="n">
        <v>103</v>
      </c>
      <c r="J6" s="31" t="n">
        <v>122</v>
      </c>
      <c r="K6" s="31" t="n">
        <v>142</v>
      </c>
      <c r="L6" s="31" t="n">
        <v>163</v>
      </c>
      <c r="M6" s="31" t="n">
        <v>185</v>
      </c>
      <c r="N6" s="31" t="n">
        <v>208</v>
      </c>
    </row>
    <row r="7" customFormat="false" ht="15" hidden="false" customHeight="false" outlineLevel="0" collapsed="false">
      <c r="A7" s="30" t="s">
        <v>89</v>
      </c>
      <c r="B7" s="24" t="n">
        <v>1200</v>
      </c>
      <c r="C7" s="31" t="n">
        <v>1</v>
      </c>
      <c r="D7" s="31" t="n">
        <v>1</v>
      </c>
      <c r="E7" s="31" t="n">
        <v>2</v>
      </c>
      <c r="F7" s="31" t="n">
        <v>2</v>
      </c>
      <c r="G7" s="31" t="n">
        <v>3</v>
      </c>
      <c r="H7" s="31" t="n">
        <v>3</v>
      </c>
      <c r="I7" s="31" t="n">
        <v>4</v>
      </c>
      <c r="J7" s="31" t="n">
        <v>4</v>
      </c>
      <c r="K7" s="31" t="n">
        <v>5</v>
      </c>
      <c r="L7" s="31" t="n">
        <v>5</v>
      </c>
      <c r="M7" s="31" t="n">
        <v>6</v>
      </c>
      <c r="N7" s="31" t="n">
        <v>6</v>
      </c>
    </row>
    <row r="8" customFormat="false" ht="15" hidden="false" customHeight="false" outlineLevel="0" collapsed="false">
      <c r="A8" s="30"/>
      <c r="B8" s="24" t="n">
        <v>0</v>
      </c>
      <c r="C8" s="31" t="n">
        <v>0</v>
      </c>
      <c r="D8" s="31" t="n">
        <v>0</v>
      </c>
      <c r="E8" s="31" t="n">
        <v>0</v>
      </c>
      <c r="F8" s="31" t="n">
        <v>0</v>
      </c>
      <c r="G8" s="31" t="n">
        <v>0</v>
      </c>
      <c r="H8" s="31" t="n">
        <v>0</v>
      </c>
      <c r="I8" s="31" t="n">
        <v>0</v>
      </c>
      <c r="J8" s="31" t="n">
        <v>0</v>
      </c>
      <c r="K8" s="31" t="n">
        <v>0</v>
      </c>
      <c r="L8" s="31" t="n">
        <v>0</v>
      </c>
      <c r="M8" s="31" t="n">
        <v>0</v>
      </c>
      <c r="N8" s="31" t="n">
        <v>0</v>
      </c>
    </row>
    <row r="9" customFormat="false" ht="15" hidden="false" customHeight="false" outlineLevel="0" collapsed="false">
      <c r="A9" s="30"/>
      <c r="B9" s="24" t="n">
        <v>0</v>
      </c>
      <c r="C9" s="31" t="n">
        <v>0</v>
      </c>
      <c r="D9" s="31" t="n">
        <v>0</v>
      </c>
      <c r="E9" s="31" t="n">
        <v>0</v>
      </c>
      <c r="F9" s="31" t="n">
        <v>0</v>
      </c>
      <c r="G9" s="31" t="n">
        <v>0</v>
      </c>
      <c r="H9" s="31" t="n">
        <v>0</v>
      </c>
      <c r="I9" s="31" t="n">
        <v>0</v>
      </c>
      <c r="J9" s="31" t="n">
        <v>0</v>
      </c>
      <c r="K9" s="31" t="n">
        <v>0</v>
      </c>
      <c r="L9" s="31" t="n">
        <v>0</v>
      </c>
      <c r="M9" s="31" t="n">
        <v>0</v>
      </c>
      <c r="N9" s="31" t="n">
        <v>0</v>
      </c>
    </row>
    <row r="11" customFormat="false" ht="15" hidden="false" customHeight="false" outlineLevel="0" collapsed="false">
      <c r="A11" s="3" t="s">
        <v>7</v>
      </c>
      <c r="C11" s="29" t="n">
        <f aca="false">EDATE(StartMonth,0)</f>
        <v>46388</v>
      </c>
      <c r="D11" s="29" t="n">
        <f aca="false">EDATE(StartMonth,1)</f>
        <v>46419</v>
      </c>
      <c r="E11" s="29" t="n">
        <f aca="false">EDATE(StartMonth,2)</f>
        <v>46447</v>
      </c>
      <c r="F11" s="29" t="n">
        <f aca="false">EDATE(StartMonth,3)</f>
        <v>46478</v>
      </c>
      <c r="G11" s="29" t="n">
        <f aca="false">EDATE(StartMonth,4)</f>
        <v>46508</v>
      </c>
      <c r="H11" s="29" t="n">
        <f aca="false">EDATE(StartMonth,5)</f>
        <v>46539</v>
      </c>
      <c r="I11" s="29" t="n">
        <f aca="false">EDATE(StartMonth,6)</f>
        <v>46569</v>
      </c>
      <c r="J11" s="29" t="n">
        <f aca="false">EDATE(StartMonth,7)</f>
        <v>46600</v>
      </c>
      <c r="K11" s="29" t="n">
        <f aca="false">EDATE(StartMonth,8)</f>
        <v>46631</v>
      </c>
      <c r="L11" s="29" t="n">
        <f aca="false">EDATE(StartMonth,9)</f>
        <v>46661</v>
      </c>
      <c r="M11" s="29" t="n">
        <f aca="false">EDATE(StartMonth,10)</f>
        <v>46692</v>
      </c>
      <c r="N11" s="29" t="n">
        <f aca="false">EDATE(StartMonth,11)</f>
        <v>46722</v>
      </c>
      <c r="O11" s="18" t="s">
        <v>42</v>
      </c>
      <c r="P11" s="18" t="s">
        <v>43</v>
      </c>
      <c r="Q11" s="18" t="s">
        <v>44</v>
      </c>
      <c r="R11" s="18" t="s">
        <v>45</v>
      </c>
      <c r="S11" s="18" t="s">
        <v>46</v>
      </c>
    </row>
    <row r="12" customFormat="false" ht="15" hidden="false" customHeight="false" outlineLevel="0" collapsed="false">
      <c r="A12" s="6" t="str">
        <f aca="false">Revenue!A5</f>
        <v>Product sales</v>
      </c>
      <c r="C12" s="19" t="n">
        <f aca="false">C5*$B$5</f>
        <v>1350</v>
      </c>
      <c r="D12" s="19" t="n">
        <f aca="false">D5*$B$5</f>
        <v>1710</v>
      </c>
      <c r="E12" s="19" t="n">
        <f aca="false">E5*$B$5</f>
        <v>2070</v>
      </c>
      <c r="F12" s="19" t="n">
        <f aca="false">F5*$B$5</f>
        <v>2475</v>
      </c>
      <c r="G12" s="19" t="n">
        <f aca="false">G5*$B$5</f>
        <v>2880</v>
      </c>
      <c r="H12" s="19" t="n">
        <f aca="false">H5*$B$5</f>
        <v>3330</v>
      </c>
      <c r="I12" s="19" t="n">
        <f aca="false">I5*$B$5</f>
        <v>3780</v>
      </c>
      <c r="J12" s="19" t="n">
        <f aca="false">J5*$B$5</f>
        <v>4275</v>
      </c>
      <c r="K12" s="19" t="n">
        <f aca="false">K5*$B$5</f>
        <v>4770</v>
      </c>
      <c r="L12" s="19" t="n">
        <f aca="false">L5*$B$5</f>
        <v>5310</v>
      </c>
      <c r="M12" s="19" t="n">
        <f aca="false">M5*$B$5</f>
        <v>5850</v>
      </c>
      <c r="N12" s="19" t="n">
        <f aca="false">N5*$B$5</f>
        <v>6390</v>
      </c>
      <c r="O12" s="19" t="n">
        <f aca="false">SUM(C12:N12)</f>
        <v>44190</v>
      </c>
    </row>
    <row r="13" customFormat="false" ht="15" hidden="false" customHeight="false" outlineLevel="0" collapsed="false">
      <c r="A13" s="6" t="str">
        <f aca="false">Revenue!A6</f>
        <v>Monthly subscription</v>
      </c>
      <c r="C13" s="19" t="n">
        <f aca="false">C6*$B$6</f>
        <v>435</v>
      </c>
      <c r="D13" s="19" t="n">
        <f aca="false">D6*$B$6</f>
        <v>725</v>
      </c>
      <c r="E13" s="19" t="n">
        <f aca="false">E6*$B$6</f>
        <v>1102</v>
      </c>
      <c r="F13" s="19" t="n">
        <f aca="false">F6*$B$6</f>
        <v>1508</v>
      </c>
      <c r="G13" s="19" t="n">
        <f aca="false">G6*$B$6</f>
        <v>1972</v>
      </c>
      <c r="H13" s="19" t="n">
        <f aca="false">H6*$B$6</f>
        <v>2465</v>
      </c>
      <c r="I13" s="19" t="n">
        <f aca="false">I6*$B$6</f>
        <v>2987</v>
      </c>
      <c r="J13" s="19" t="n">
        <f aca="false">J6*$B$6</f>
        <v>3538</v>
      </c>
      <c r="K13" s="19" t="n">
        <f aca="false">K6*$B$6</f>
        <v>4118</v>
      </c>
      <c r="L13" s="19" t="n">
        <f aca="false">L6*$B$6</f>
        <v>4727</v>
      </c>
      <c r="M13" s="19" t="n">
        <f aca="false">M6*$B$6</f>
        <v>5365</v>
      </c>
      <c r="N13" s="19" t="n">
        <f aca="false">N6*$B$6</f>
        <v>6032</v>
      </c>
      <c r="O13" s="19" t="n">
        <f aca="false">SUM(C13:N13)</f>
        <v>34974</v>
      </c>
    </row>
    <row r="14" customFormat="false" ht="15" hidden="false" customHeight="false" outlineLevel="0" collapsed="false">
      <c r="A14" s="6" t="str">
        <f aca="false">Revenue!A7</f>
        <v>Consulting days</v>
      </c>
      <c r="C14" s="19" t="n">
        <f aca="false">C7*$B$7</f>
        <v>1200</v>
      </c>
      <c r="D14" s="19" t="n">
        <f aca="false">D7*$B$7</f>
        <v>1200</v>
      </c>
      <c r="E14" s="19" t="n">
        <f aca="false">E7*$B$7</f>
        <v>2400</v>
      </c>
      <c r="F14" s="19" t="n">
        <f aca="false">F7*$B$7</f>
        <v>2400</v>
      </c>
      <c r="G14" s="19" t="n">
        <f aca="false">G7*$B$7</f>
        <v>3600</v>
      </c>
      <c r="H14" s="19" t="n">
        <f aca="false">H7*$B$7</f>
        <v>3600</v>
      </c>
      <c r="I14" s="19" t="n">
        <f aca="false">I7*$B$7</f>
        <v>4800</v>
      </c>
      <c r="J14" s="19" t="n">
        <f aca="false">J7*$B$7</f>
        <v>4800</v>
      </c>
      <c r="K14" s="19" t="n">
        <f aca="false">K7*$B$7</f>
        <v>6000</v>
      </c>
      <c r="L14" s="19" t="n">
        <f aca="false">L7*$B$7</f>
        <v>6000</v>
      </c>
      <c r="M14" s="19" t="n">
        <f aca="false">M7*$B$7</f>
        <v>7200</v>
      </c>
      <c r="N14" s="19" t="n">
        <f aca="false">N7*$B$7</f>
        <v>7200</v>
      </c>
      <c r="O14" s="19" t="n">
        <f aca="false">SUM(C14:N14)</f>
        <v>50400</v>
      </c>
    </row>
    <row r="15" customFormat="false" ht="15" hidden="false" customHeight="false" outlineLevel="0" collapsed="false">
      <c r="A15" s="6" t="n">
        <f aca="false">Revenue!A8</f>
        <v>0</v>
      </c>
      <c r="C15" s="19" t="n">
        <f aca="false">C8*$B$8</f>
        <v>0</v>
      </c>
      <c r="D15" s="19" t="n">
        <f aca="false">D8*$B$8</f>
        <v>0</v>
      </c>
      <c r="E15" s="19" t="n">
        <f aca="false">E8*$B$8</f>
        <v>0</v>
      </c>
      <c r="F15" s="19" t="n">
        <f aca="false">F8*$B$8</f>
        <v>0</v>
      </c>
      <c r="G15" s="19" t="n">
        <f aca="false">G8*$B$8</f>
        <v>0</v>
      </c>
      <c r="H15" s="19" t="n">
        <f aca="false">H8*$B$8</f>
        <v>0</v>
      </c>
      <c r="I15" s="19" t="n">
        <f aca="false">I8*$B$8</f>
        <v>0</v>
      </c>
      <c r="J15" s="19" t="n">
        <f aca="false">J8*$B$8</f>
        <v>0</v>
      </c>
      <c r="K15" s="19" t="n">
        <f aca="false">K8*$B$8</f>
        <v>0</v>
      </c>
      <c r="L15" s="19" t="n">
        <f aca="false">L8*$B$8</f>
        <v>0</v>
      </c>
      <c r="M15" s="19" t="n">
        <f aca="false">M8*$B$8</f>
        <v>0</v>
      </c>
      <c r="N15" s="19" t="n">
        <f aca="false">N8*$B$8</f>
        <v>0</v>
      </c>
      <c r="O15" s="19" t="n">
        <f aca="false">SUM(C15:N15)</f>
        <v>0</v>
      </c>
    </row>
    <row r="16" customFormat="false" ht="15" hidden="false" customHeight="false" outlineLevel="0" collapsed="false">
      <c r="A16" s="6" t="n">
        <f aca="false">Revenue!A9</f>
        <v>0</v>
      </c>
      <c r="C16" s="19" t="n">
        <f aca="false">C9*$B$9</f>
        <v>0</v>
      </c>
      <c r="D16" s="19" t="n">
        <f aca="false">D9*$B$9</f>
        <v>0</v>
      </c>
      <c r="E16" s="19" t="n">
        <f aca="false">E9*$B$9</f>
        <v>0</v>
      </c>
      <c r="F16" s="19" t="n">
        <f aca="false">F9*$B$9</f>
        <v>0</v>
      </c>
      <c r="G16" s="19" t="n">
        <f aca="false">G9*$B$9</f>
        <v>0</v>
      </c>
      <c r="H16" s="19" t="n">
        <f aca="false">H9*$B$9</f>
        <v>0</v>
      </c>
      <c r="I16" s="19" t="n">
        <f aca="false">I9*$B$9</f>
        <v>0</v>
      </c>
      <c r="J16" s="19" t="n">
        <f aca="false">J9*$B$9</f>
        <v>0</v>
      </c>
      <c r="K16" s="19" t="n">
        <f aca="false">K9*$B$9</f>
        <v>0</v>
      </c>
      <c r="L16" s="19" t="n">
        <f aca="false">L9*$B$9</f>
        <v>0</v>
      </c>
      <c r="M16" s="19" t="n">
        <f aca="false">M9*$B$9</f>
        <v>0</v>
      </c>
      <c r="N16" s="19" t="n">
        <f aca="false">N9*$B$9</f>
        <v>0</v>
      </c>
      <c r="O16" s="19" t="n">
        <f aca="false">SUM(C16:N16)</f>
        <v>0</v>
      </c>
    </row>
    <row r="17" customFormat="false" ht="15" hidden="false" customHeight="false" outlineLevel="0" collapsed="false">
      <c r="A17" s="32" t="s">
        <v>90</v>
      </c>
      <c r="C17" s="15" t="n">
        <f aca="false">SUM(C12:C16)</f>
        <v>2985</v>
      </c>
      <c r="D17" s="15" t="n">
        <f aca="false">SUM(D12:D16)</f>
        <v>3635</v>
      </c>
      <c r="E17" s="15" t="n">
        <f aca="false">SUM(E12:E16)</f>
        <v>5572</v>
      </c>
      <c r="F17" s="15" t="n">
        <f aca="false">SUM(F12:F16)</f>
        <v>6383</v>
      </c>
      <c r="G17" s="15" t="n">
        <f aca="false">SUM(G12:G16)</f>
        <v>8452</v>
      </c>
      <c r="H17" s="15" t="n">
        <f aca="false">SUM(H12:H16)</f>
        <v>9395</v>
      </c>
      <c r="I17" s="15" t="n">
        <f aca="false">SUM(I12:I16)</f>
        <v>11567</v>
      </c>
      <c r="J17" s="15" t="n">
        <f aca="false">SUM(J12:J16)</f>
        <v>12613</v>
      </c>
      <c r="K17" s="15" t="n">
        <f aca="false">SUM(K12:K16)</f>
        <v>14888</v>
      </c>
      <c r="L17" s="15" t="n">
        <f aca="false">SUM(L12:L16)</f>
        <v>16037</v>
      </c>
      <c r="M17" s="15" t="n">
        <f aca="false">SUM(M12:M16)</f>
        <v>18415</v>
      </c>
      <c r="N17" s="15" t="n">
        <f aca="false">SUM(N12:N16)</f>
        <v>19622</v>
      </c>
      <c r="O17" s="15" t="n">
        <f aca="false">SUM(O12:O16)</f>
        <v>129564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4"/>
    <col collapsed="false" customWidth="true" hidden="false" outlineLevel="0" max="4" min="2" style="0" width="14"/>
    <col collapsed="false" customWidth="true" hidden="false" outlineLevel="0" max="19" min="5" style="0" width="12"/>
  </cols>
  <sheetData>
    <row r="1" customFormat="false" ht="24" hidden="false" customHeight="true" outlineLevel="0" collapsed="false">
      <c r="A1" s="13" t="s">
        <v>9</v>
      </c>
    </row>
    <row r="2" customFormat="false" ht="15" hidden="false" customHeight="false" outlineLevel="0" collapsed="false">
      <c r="A2" s="14" t="s">
        <v>91</v>
      </c>
    </row>
    <row r="4" customFormat="false" ht="15" hidden="false" customHeight="false" outlineLevel="0" collapsed="false">
      <c r="A4" s="21" t="s">
        <v>92</v>
      </c>
      <c r="B4" s="28" t="s">
        <v>93</v>
      </c>
      <c r="C4" s="29" t="n">
        <f aca="false">EDATE(StartMonth,0)</f>
        <v>46388</v>
      </c>
      <c r="D4" s="29" t="n">
        <f aca="false">EDATE(StartMonth,1)</f>
        <v>46419</v>
      </c>
      <c r="E4" s="29" t="n">
        <f aca="false">EDATE(StartMonth,2)</f>
        <v>46447</v>
      </c>
      <c r="F4" s="29" t="n">
        <f aca="false">EDATE(StartMonth,3)</f>
        <v>46478</v>
      </c>
      <c r="G4" s="29" t="n">
        <f aca="false">EDATE(StartMonth,4)</f>
        <v>46508</v>
      </c>
      <c r="H4" s="29" t="n">
        <f aca="false">EDATE(StartMonth,5)</f>
        <v>46539</v>
      </c>
      <c r="I4" s="29" t="n">
        <f aca="false">EDATE(StartMonth,6)</f>
        <v>46569</v>
      </c>
      <c r="J4" s="29" t="n">
        <f aca="false">EDATE(StartMonth,7)</f>
        <v>46600</v>
      </c>
      <c r="K4" s="29" t="n">
        <f aca="false">EDATE(StartMonth,8)</f>
        <v>46631</v>
      </c>
      <c r="L4" s="29" t="n">
        <f aca="false">EDATE(StartMonth,9)</f>
        <v>46661</v>
      </c>
      <c r="M4" s="29" t="n">
        <f aca="false">EDATE(StartMonth,10)</f>
        <v>46692</v>
      </c>
      <c r="N4" s="29" t="n">
        <f aca="false">EDATE(StartMonth,11)</f>
        <v>46722</v>
      </c>
      <c r="O4" s="18" t="s">
        <v>42</v>
      </c>
      <c r="P4" s="18" t="s">
        <v>43</v>
      </c>
      <c r="Q4" s="18" t="s">
        <v>44</v>
      </c>
      <c r="R4" s="18" t="s">
        <v>45</v>
      </c>
      <c r="S4" s="18" t="s">
        <v>46</v>
      </c>
    </row>
    <row r="5" customFormat="false" ht="15" hidden="false" customHeight="false" outlineLevel="0" collapsed="false">
      <c r="A5" s="30" t="s">
        <v>94</v>
      </c>
      <c r="B5" s="25" t="n">
        <v>0.32</v>
      </c>
      <c r="C5" s="19" t="n">
        <f aca="false">INDEX(Revenue!$C$17:$N$17,1)*$B$5</f>
        <v>955.2</v>
      </c>
      <c r="D5" s="19" t="n">
        <f aca="false">INDEX(Revenue!$C$17:$N$17,2)*$B$5</f>
        <v>1163.2</v>
      </c>
      <c r="E5" s="19" t="n">
        <f aca="false">INDEX(Revenue!$C$17:$N$17,3)*$B$5</f>
        <v>1783.04</v>
      </c>
      <c r="F5" s="19" t="n">
        <f aca="false">INDEX(Revenue!$C$17:$N$17,4)*$B$5</f>
        <v>2042.56</v>
      </c>
      <c r="G5" s="19" t="n">
        <f aca="false">INDEX(Revenue!$C$17:$N$17,5)*$B$5</f>
        <v>2704.64</v>
      </c>
      <c r="H5" s="19" t="n">
        <f aca="false">INDEX(Revenue!$C$17:$N$17,6)*$B$5</f>
        <v>3006.4</v>
      </c>
      <c r="I5" s="19" t="n">
        <f aca="false">INDEX(Revenue!$C$17:$N$17,7)*$B$5</f>
        <v>3701.44</v>
      </c>
      <c r="J5" s="19" t="n">
        <f aca="false">INDEX(Revenue!$C$17:$N$17,8)*$B$5</f>
        <v>4036.16</v>
      </c>
      <c r="K5" s="19" t="n">
        <f aca="false">INDEX(Revenue!$C$17:$N$17,9)*$B$5</f>
        <v>4764.16</v>
      </c>
      <c r="L5" s="19" t="n">
        <f aca="false">INDEX(Revenue!$C$17:$N$17,10)*$B$5</f>
        <v>5131.84</v>
      </c>
      <c r="M5" s="19" t="n">
        <f aca="false">INDEX(Revenue!$C$17:$N$17,11)*$B$5</f>
        <v>5892.8</v>
      </c>
      <c r="N5" s="19" t="n">
        <f aca="false">INDEX(Revenue!$C$17:$N$17,12)*$B$5</f>
        <v>6279.04</v>
      </c>
      <c r="O5" s="19" t="n">
        <f aca="false">SUM(C5:N5)</f>
        <v>41460.48</v>
      </c>
    </row>
    <row r="6" customFormat="false" ht="15" hidden="false" customHeight="false" outlineLevel="0" collapsed="false">
      <c r="A6" s="30" t="s">
        <v>95</v>
      </c>
      <c r="B6" s="25" t="n">
        <v>0.03</v>
      </c>
      <c r="C6" s="19" t="n">
        <f aca="false">INDEX(Revenue!$C$17:$N$17,1)*$B$6</f>
        <v>89.55</v>
      </c>
      <c r="D6" s="19" t="n">
        <f aca="false">INDEX(Revenue!$C$17:$N$17,2)*$B$6</f>
        <v>109.05</v>
      </c>
      <c r="E6" s="19" t="n">
        <f aca="false">INDEX(Revenue!$C$17:$N$17,3)*$B$6</f>
        <v>167.16</v>
      </c>
      <c r="F6" s="19" t="n">
        <f aca="false">INDEX(Revenue!$C$17:$N$17,4)*$B$6</f>
        <v>191.49</v>
      </c>
      <c r="G6" s="19" t="n">
        <f aca="false">INDEX(Revenue!$C$17:$N$17,5)*$B$6</f>
        <v>253.56</v>
      </c>
      <c r="H6" s="19" t="n">
        <f aca="false">INDEX(Revenue!$C$17:$N$17,6)*$B$6</f>
        <v>281.85</v>
      </c>
      <c r="I6" s="19" t="n">
        <f aca="false">INDEX(Revenue!$C$17:$N$17,7)*$B$6</f>
        <v>347.01</v>
      </c>
      <c r="J6" s="19" t="n">
        <f aca="false">INDEX(Revenue!$C$17:$N$17,8)*$B$6</f>
        <v>378.39</v>
      </c>
      <c r="K6" s="19" t="n">
        <f aca="false">INDEX(Revenue!$C$17:$N$17,9)*$B$6</f>
        <v>446.64</v>
      </c>
      <c r="L6" s="19" t="n">
        <f aca="false">INDEX(Revenue!$C$17:$N$17,10)*$B$6</f>
        <v>481.11</v>
      </c>
      <c r="M6" s="19" t="n">
        <f aca="false">INDEX(Revenue!$C$17:$N$17,11)*$B$6</f>
        <v>552.45</v>
      </c>
      <c r="N6" s="19" t="n">
        <f aca="false">INDEX(Revenue!$C$17:$N$17,12)*$B$6</f>
        <v>588.66</v>
      </c>
      <c r="O6" s="19" t="n">
        <f aca="false">SUM(C6:N6)</f>
        <v>3886.92</v>
      </c>
    </row>
    <row r="7" customFormat="false" ht="15" hidden="false" customHeight="false" outlineLevel="0" collapsed="false">
      <c r="A7" s="30" t="s">
        <v>96</v>
      </c>
      <c r="B7" s="25" t="n">
        <v>0.04</v>
      </c>
      <c r="C7" s="19" t="n">
        <f aca="false">INDEX(Revenue!$C$17:$N$17,1)*$B$7</f>
        <v>119.4</v>
      </c>
      <c r="D7" s="19" t="n">
        <f aca="false">INDEX(Revenue!$C$17:$N$17,2)*$B$7</f>
        <v>145.4</v>
      </c>
      <c r="E7" s="19" t="n">
        <f aca="false">INDEX(Revenue!$C$17:$N$17,3)*$B$7</f>
        <v>222.88</v>
      </c>
      <c r="F7" s="19" t="n">
        <f aca="false">INDEX(Revenue!$C$17:$N$17,4)*$B$7</f>
        <v>255.32</v>
      </c>
      <c r="G7" s="19" t="n">
        <f aca="false">INDEX(Revenue!$C$17:$N$17,5)*$B$7</f>
        <v>338.08</v>
      </c>
      <c r="H7" s="19" t="n">
        <f aca="false">INDEX(Revenue!$C$17:$N$17,6)*$B$7</f>
        <v>375.8</v>
      </c>
      <c r="I7" s="19" t="n">
        <f aca="false">INDEX(Revenue!$C$17:$N$17,7)*$B$7</f>
        <v>462.68</v>
      </c>
      <c r="J7" s="19" t="n">
        <f aca="false">INDEX(Revenue!$C$17:$N$17,8)*$B$7</f>
        <v>504.52</v>
      </c>
      <c r="K7" s="19" t="n">
        <f aca="false">INDEX(Revenue!$C$17:$N$17,9)*$B$7</f>
        <v>595.52</v>
      </c>
      <c r="L7" s="19" t="n">
        <f aca="false">INDEX(Revenue!$C$17:$N$17,10)*$B$7</f>
        <v>641.48</v>
      </c>
      <c r="M7" s="19" t="n">
        <f aca="false">INDEX(Revenue!$C$17:$N$17,11)*$B$7</f>
        <v>736.6</v>
      </c>
      <c r="N7" s="19" t="n">
        <f aca="false">INDEX(Revenue!$C$17:$N$17,12)*$B$7</f>
        <v>784.88</v>
      </c>
      <c r="O7" s="19" t="n">
        <f aca="false">SUM(C7:N7)</f>
        <v>5182.56</v>
      </c>
    </row>
    <row r="8" customFormat="false" ht="15" hidden="false" customHeight="false" outlineLevel="0" collapsed="false">
      <c r="A8" s="30"/>
      <c r="B8" s="25" t="n">
        <v>0</v>
      </c>
      <c r="C8" s="19" t="n">
        <f aca="false">INDEX(Revenue!$C$17:$N$17,1)*$B$8</f>
        <v>0</v>
      </c>
      <c r="D8" s="19" t="n">
        <f aca="false">INDEX(Revenue!$C$17:$N$17,2)*$B$8</f>
        <v>0</v>
      </c>
      <c r="E8" s="19" t="n">
        <f aca="false">INDEX(Revenue!$C$17:$N$17,3)*$B$8</f>
        <v>0</v>
      </c>
      <c r="F8" s="19" t="n">
        <f aca="false">INDEX(Revenue!$C$17:$N$17,4)*$B$8</f>
        <v>0</v>
      </c>
      <c r="G8" s="19" t="n">
        <f aca="false">INDEX(Revenue!$C$17:$N$17,5)*$B$8</f>
        <v>0</v>
      </c>
      <c r="H8" s="19" t="n">
        <f aca="false">INDEX(Revenue!$C$17:$N$17,6)*$B$8</f>
        <v>0</v>
      </c>
      <c r="I8" s="19" t="n">
        <f aca="false">INDEX(Revenue!$C$17:$N$17,7)*$B$8</f>
        <v>0</v>
      </c>
      <c r="J8" s="19" t="n">
        <f aca="false">INDEX(Revenue!$C$17:$N$17,8)*$B$8</f>
        <v>0</v>
      </c>
      <c r="K8" s="19" t="n">
        <f aca="false">INDEX(Revenue!$C$17:$N$17,9)*$B$8</f>
        <v>0</v>
      </c>
      <c r="L8" s="19" t="n">
        <f aca="false">INDEX(Revenue!$C$17:$N$17,10)*$B$8</f>
        <v>0</v>
      </c>
      <c r="M8" s="19" t="n">
        <f aca="false">INDEX(Revenue!$C$17:$N$17,11)*$B$8</f>
        <v>0</v>
      </c>
      <c r="N8" s="19" t="n">
        <f aca="false">INDEX(Revenue!$C$17:$N$17,12)*$B$8</f>
        <v>0</v>
      </c>
      <c r="O8" s="19" t="n">
        <f aca="false">SUM(C8:N8)</f>
        <v>0</v>
      </c>
    </row>
    <row r="9" customFormat="false" ht="15" hidden="false" customHeight="false" outlineLevel="0" collapsed="false">
      <c r="A9" s="32" t="s">
        <v>97</v>
      </c>
      <c r="C9" s="15" t="n">
        <f aca="false">SUM(C5:C8)</f>
        <v>1164.15</v>
      </c>
      <c r="D9" s="15" t="n">
        <f aca="false">SUM(D5:D8)</f>
        <v>1417.65</v>
      </c>
      <c r="E9" s="15" t="n">
        <f aca="false">SUM(E5:E8)</f>
        <v>2173.08</v>
      </c>
      <c r="F9" s="15" t="n">
        <f aca="false">SUM(F5:F8)</f>
        <v>2489.37</v>
      </c>
      <c r="G9" s="15" t="n">
        <f aca="false">SUM(G5:G8)</f>
        <v>3296.28</v>
      </c>
      <c r="H9" s="15" t="n">
        <f aca="false">SUM(H5:H8)</f>
        <v>3664.05</v>
      </c>
      <c r="I9" s="15" t="n">
        <f aca="false">SUM(I5:I8)</f>
        <v>4511.13</v>
      </c>
      <c r="J9" s="15" t="n">
        <f aca="false">SUM(J5:J8)</f>
        <v>4919.07</v>
      </c>
      <c r="K9" s="15" t="n">
        <f aca="false">SUM(K5:K8)</f>
        <v>5806.32</v>
      </c>
      <c r="L9" s="15" t="n">
        <f aca="false">SUM(L5:L8)</f>
        <v>6254.43</v>
      </c>
      <c r="M9" s="15" t="n">
        <f aca="false">SUM(M5:M8)</f>
        <v>7181.85</v>
      </c>
      <c r="N9" s="15" t="n">
        <f aca="false">SUM(N5:N8)</f>
        <v>7652.58</v>
      </c>
      <c r="O9" s="15" t="n">
        <f aca="false">SUM(O5:O8)</f>
        <v>50529.96</v>
      </c>
    </row>
    <row r="11" customFormat="false" ht="15" hidden="false" customHeight="false" outlineLevel="0" collapsed="false">
      <c r="A11" s="3" t="s">
        <v>98</v>
      </c>
      <c r="C11" s="29" t="n">
        <f aca="false">EDATE(StartMonth,0)</f>
        <v>46388</v>
      </c>
      <c r="D11" s="29" t="n">
        <f aca="false">EDATE(StartMonth,1)</f>
        <v>46419</v>
      </c>
      <c r="E11" s="29" t="n">
        <f aca="false">EDATE(StartMonth,2)</f>
        <v>46447</v>
      </c>
      <c r="F11" s="29" t="n">
        <f aca="false">EDATE(StartMonth,3)</f>
        <v>46478</v>
      </c>
      <c r="G11" s="29" t="n">
        <f aca="false">EDATE(StartMonth,4)</f>
        <v>46508</v>
      </c>
      <c r="H11" s="29" t="n">
        <f aca="false">EDATE(StartMonth,5)</f>
        <v>46539</v>
      </c>
      <c r="I11" s="29" t="n">
        <f aca="false">EDATE(StartMonth,6)</f>
        <v>46569</v>
      </c>
      <c r="J11" s="29" t="n">
        <f aca="false">EDATE(StartMonth,7)</f>
        <v>46600</v>
      </c>
      <c r="K11" s="29" t="n">
        <f aca="false">EDATE(StartMonth,8)</f>
        <v>46631</v>
      </c>
      <c r="L11" s="29" t="n">
        <f aca="false">EDATE(StartMonth,9)</f>
        <v>46661</v>
      </c>
      <c r="M11" s="29" t="n">
        <f aca="false">EDATE(StartMonth,10)</f>
        <v>46692</v>
      </c>
      <c r="N11" s="29" t="n">
        <f aca="false">EDATE(StartMonth,11)</f>
        <v>46722</v>
      </c>
      <c r="O11" s="18" t="s">
        <v>42</v>
      </c>
      <c r="P11" s="18" t="s">
        <v>43</v>
      </c>
      <c r="Q11" s="18" t="s">
        <v>44</v>
      </c>
      <c r="R11" s="18" t="s">
        <v>45</v>
      </c>
      <c r="S11" s="18" t="s">
        <v>46</v>
      </c>
    </row>
    <row r="12" customFormat="false" ht="15" hidden="false" customHeight="false" outlineLevel="0" collapsed="false">
      <c r="A12" s="30" t="s">
        <v>99</v>
      </c>
      <c r="C12" s="33" t="n">
        <v>1200</v>
      </c>
      <c r="D12" s="33" t="n">
        <v>1200</v>
      </c>
      <c r="E12" s="33" t="n">
        <v>1200</v>
      </c>
      <c r="F12" s="33" t="n">
        <v>1200</v>
      </c>
      <c r="G12" s="33" t="n">
        <v>1200</v>
      </c>
      <c r="H12" s="33" t="n">
        <v>1200</v>
      </c>
      <c r="I12" s="33" t="n">
        <v>1200</v>
      </c>
      <c r="J12" s="33" t="n">
        <v>1200</v>
      </c>
      <c r="K12" s="33" t="n">
        <v>1200</v>
      </c>
      <c r="L12" s="33" t="n">
        <v>1200</v>
      </c>
      <c r="M12" s="33" t="n">
        <v>1200</v>
      </c>
      <c r="N12" s="33" t="n">
        <v>1200</v>
      </c>
      <c r="O12" s="34" t="n">
        <f aca="false">SUM(C12:N12)</f>
        <v>14400</v>
      </c>
    </row>
    <row r="13" customFormat="false" ht="15" hidden="false" customHeight="false" outlineLevel="0" collapsed="false">
      <c r="A13" s="30" t="s">
        <v>100</v>
      </c>
      <c r="C13" s="33" t="n">
        <v>250</v>
      </c>
      <c r="D13" s="33" t="n">
        <v>250</v>
      </c>
      <c r="E13" s="33" t="n">
        <v>250</v>
      </c>
      <c r="F13" s="33" t="n">
        <v>250</v>
      </c>
      <c r="G13" s="33" t="n">
        <v>250</v>
      </c>
      <c r="H13" s="33" t="n">
        <v>250</v>
      </c>
      <c r="I13" s="33" t="n">
        <v>250</v>
      </c>
      <c r="J13" s="33" t="n">
        <v>250</v>
      </c>
      <c r="K13" s="33" t="n">
        <v>250</v>
      </c>
      <c r="L13" s="33" t="n">
        <v>250</v>
      </c>
      <c r="M13" s="33" t="n">
        <v>250</v>
      </c>
      <c r="N13" s="33" t="n">
        <v>250</v>
      </c>
      <c r="O13" s="34" t="n">
        <f aca="false">SUM(C13:N13)</f>
        <v>3000</v>
      </c>
    </row>
    <row r="14" customFormat="false" ht="15" hidden="false" customHeight="false" outlineLevel="0" collapsed="false">
      <c r="A14" s="30" t="s">
        <v>101</v>
      </c>
      <c r="C14" s="33" t="n">
        <v>500</v>
      </c>
      <c r="D14" s="33" t="n">
        <v>500</v>
      </c>
      <c r="E14" s="33" t="n">
        <v>700</v>
      </c>
      <c r="F14" s="33" t="n">
        <v>700</v>
      </c>
      <c r="G14" s="33" t="n">
        <v>900</v>
      </c>
      <c r="H14" s="33" t="n">
        <v>900</v>
      </c>
      <c r="I14" s="33" t="n">
        <v>1100</v>
      </c>
      <c r="J14" s="33" t="n">
        <v>1100</v>
      </c>
      <c r="K14" s="33" t="n">
        <v>1300</v>
      </c>
      <c r="L14" s="33" t="n">
        <v>1300</v>
      </c>
      <c r="M14" s="33" t="n">
        <v>1500</v>
      </c>
      <c r="N14" s="33" t="n">
        <v>1500</v>
      </c>
      <c r="O14" s="34" t="n">
        <f aca="false">SUM(C14:N14)</f>
        <v>12000</v>
      </c>
    </row>
    <row r="15" customFormat="false" ht="15" hidden="false" customHeight="false" outlineLevel="0" collapsed="false">
      <c r="A15" s="30" t="s">
        <v>102</v>
      </c>
      <c r="C15" s="33" t="n">
        <v>150</v>
      </c>
      <c r="D15" s="33" t="n">
        <v>150</v>
      </c>
      <c r="E15" s="33" t="n">
        <v>150</v>
      </c>
      <c r="F15" s="33" t="n">
        <v>150</v>
      </c>
      <c r="G15" s="33" t="n">
        <v>150</v>
      </c>
      <c r="H15" s="33" t="n">
        <v>150</v>
      </c>
      <c r="I15" s="33" t="n">
        <v>150</v>
      </c>
      <c r="J15" s="33" t="n">
        <v>150</v>
      </c>
      <c r="K15" s="33" t="n">
        <v>150</v>
      </c>
      <c r="L15" s="33" t="n">
        <v>150</v>
      </c>
      <c r="M15" s="33" t="n">
        <v>150</v>
      </c>
      <c r="N15" s="33" t="n">
        <v>150</v>
      </c>
      <c r="O15" s="34" t="n">
        <f aca="false">SUM(C15:N15)</f>
        <v>1800</v>
      </c>
    </row>
    <row r="16" customFormat="false" ht="15" hidden="false" customHeight="false" outlineLevel="0" collapsed="false">
      <c r="A16" s="30" t="s">
        <v>103</v>
      </c>
      <c r="C16" s="33" t="n">
        <v>200</v>
      </c>
      <c r="D16" s="33" t="n">
        <v>200</v>
      </c>
      <c r="E16" s="33" t="n">
        <v>200</v>
      </c>
      <c r="F16" s="33" t="n">
        <v>200</v>
      </c>
      <c r="G16" s="33" t="n">
        <v>200</v>
      </c>
      <c r="H16" s="33" t="n">
        <v>200</v>
      </c>
      <c r="I16" s="33" t="n">
        <v>200</v>
      </c>
      <c r="J16" s="33" t="n">
        <v>200</v>
      </c>
      <c r="K16" s="33" t="n">
        <v>200</v>
      </c>
      <c r="L16" s="33" t="n">
        <v>200</v>
      </c>
      <c r="M16" s="33" t="n">
        <v>200</v>
      </c>
      <c r="N16" s="33" t="n">
        <v>200</v>
      </c>
      <c r="O16" s="34" t="n">
        <f aca="false">SUM(C16:N16)</f>
        <v>2400</v>
      </c>
    </row>
    <row r="17" customFormat="false" ht="15" hidden="false" customHeight="false" outlineLevel="0" collapsed="false">
      <c r="A17" s="30" t="s">
        <v>104</v>
      </c>
      <c r="C17" s="33" t="n">
        <v>150</v>
      </c>
      <c r="D17" s="33" t="n">
        <v>150</v>
      </c>
      <c r="E17" s="33" t="n">
        <v>150</v>
      </c>
      <c r="F17" s="33" t="n">
        <v>150</v>
      </c>
      <c r="G17" s="33" t="n">
        <v>150</v>
      </c>
      <c r="H17" s="33" t="n">
        <v>150</v>
      </c>
      <c r="I17" s="33" t="n">
        <v>150</v>
      </c>
      <c r="J17" s="33" t="n">
        <v>150</v>
      </c>
      <c r="K17" s="33" t="n">
        <v>150</v>
      </c>
      <c r="L17" s="33" t="n">
        <v>150</v>
      </c>
      <c r="M17" s="33" t="n">
        <v>150</v>
      </c>
      <c r="N17" s="33" t="n">
        <v>150</v>
      </c>
      <c r="O17" s="34" t="n">
        <f aca="false">SUM(C17:N17)</f>
        <v>1800</v>
      </c>
    </row>
    <row r="18" customFormat="false" ht="15" hidden="false" customHeight="false" outlineLevel="0" collapsed="false">
      <c r="A18" s="30"/>
      <c r="C18" s="33" t="n">
        <v>0</v>
      </c>
      <c r="D18" s="33" t="n">
        <v>0</v>
      </c>
      <c r="E18" s="33" t="n">
        <v>0</v>
      </c>
      <c r="F18" s="33" t="n">
        <v>0</v>
      </c>
      <c r="G18" s="33" t="n">
        <v>0</v>
      </c>
      <c r="H18" s="33" t="n">
        <v>0</v>
      </c>
      <c r="I18" s="33" t="n">
        <v>0</v>
      </c>
      <c r="J18" s="33" t="n">
        <v>0</v>
      </c>
      <c r="K18" s="33" t="n">
        <v>0</v>
      </c>
      <c r="L18" s="33" t="n">
        <v>0</v>
      </c>
      <c r="M18" s="33" t="n">
        <v>0</v>
      </c>
      <c r="N18" s="33" t="n">
        <v>0</v>
      </c>
      <c r="O18" s="34" t="n">
        <f aca="false">SUM(C18:N18)</f>
        <v>0</v>
      </c>
    </row>
    <row r="19" customFormat="false" ht="15" hidden="false" customHeight="false" outlineLevel="0" collapsed="false">
      <c r="A19" s="32" t="s">
        <v>105</v>
      </c>
      <c r="C19" s="15" t="n">
        <f aca="false">SUM(C12:C18)</f>
        <v>2450</v>
      </c>
      <c r="D19" s="15" t="n">
        <f aca="false">SUM(D12:D18)</f>
        <v>2450</v>
      </c>
      <c r="E19" s="15" t="n">
        <f aca="false">SUM(E12:E18)</f>
        <v>2650</v>
      </c>
      <c r="F19" s="15" t="n">
        <f aca="false">SUM(F12:F18)</f>
        <v>2650</v>
      </c>
      <c r="G19" s="15" t="n">
        <f aca="false">SUM(G12:G18)</f>
        <v>2850</v>
      </c>
      <c r="H19" s="15" t="n">
        <f aca="false">SUM(H12:H18)</f>
        <v>2850</v>
      </c>
      <c r="I19" s="15" t="n">
        <f aca="false">SUM(I12:I18)</f>
        <v>3050</v>
      </c>
      <c r="J19" s="15" t="n">
        <f aca="false">SUM(J12:J18)</f>
        <v>3050</v>
      </c>
      <c r="K19" s="15" t="n">
        <f aca="false">SUM(K12:K18)</f>
        <v>3250</v>
      </c>
      <c r="L19" s="15" t="n">
        <f aca="false">SUM(L12:L18)</f>
        <v>3250</v>
      </c>
      <c r="M19" s="15" t="n">
        <f aca="false">SUM(M12:M18)</f>
        <v>3450</v>
      </c>
      <c r="N19" s="15" t="n">
        <f aca="false">SUM(N12:N18)</f>
        <v>3450</v>
      </c>
      <c r="O19" s="15" t="n">
        <f aca="false">SUM(O12:O18)</f>
        <v>35400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0"/>
    <col collapsed="false" customWidth="true" hidden="false" outlineLevel="0" max="4" min="2" style="0" width="13"/>
    <col collapsed="false" customWidth="true" hidden="false" outlineLevel="0" max="19" min="5" style="0" width="12"/>
  </cols>
  <sheetData>
    <row r="1" customFormat="false" ht="24" hidden="false" customHeight="true" outlineLevel="0" collapsed="false">
      <c r="A1" s="13" t="s">
        <v>11</v>
      </c>
    </row>
    <row r="2" customFormat="false" ht="15" hidden="false" customHeight="false" outlineLevel="0" collapsed="false">
      <c r="A2" s="14" t="s">
        <v>106</v>
      </c>
    </row>
    <row r="4" customFormat="false" ht="15" hidden="false" customHeight="false" outlineLevel="0" collapsed="false">
      <c r="A4" s="28" t="s">
        <v>107</v>
      </c>
      <c r="B4" s="28" t="s">
        <v>108</v>
      </c>
      <c r="C4" s="28" t="s">
        <v>109</v>
      </c>
      <c r="D4" s="28" t="s">
        <v>110</v>
      </c>
      <c r="E4" s="29" t="n">
        <f aca="false">EDATE(StartMonth,0)</f>
        <v>46388</v>
      </c>
      <c r="F4" s="29" t="n">
        <f aca="false">EDATE(StartMonth,1)</f>
        <v>46419</v>
      </c>
      <c r="G4" s="29" t="n">
        <f aca="false">EDATE(StartMonth,2)</f>
        <v>46447</v>
      </c>
      <c r="H4" s="29" t="n">
        <f aca="false">EDATE(StartMonth,3)</f>
        <v>46478</v>
      </c>
      <c r="I4" s="29" t="n">
        <f aca="false">EDATE(StartMonth,4)</f>
        <v>46508</v>
      </c>
      <c r="J4" s="29" t="n">
        <f aca="false">EDATE(StartMonth,5)</f>
        <v>46539</v>
      </c>
      <c r="K4" s="29" t="n">
        <f aca="false">EDATE(StartMonth,6)</f>
        <v>46569</v>
      </c>
      <c r="L4" s="29" t="n">
        <f aca="false">EDATE(StartMonth,7)</f>
        <v>46600</v>
      </c>
      <c r="M4" s="29" t="n">
        <f aca="false">EDATE(StartMonth,8)</f>
        <v>46631</v>
      </c>
      <c r="N4" s="29" t="n">
        <f aca="false">EDATE(StartMonth,9)</f>
        <v>46661</v>
      </c>
      <c r="O4" s="29" t="n">
        <f aca="false">EDATE(StartMonth,10)</f>
        <v>46692</v>
      </c>
      <c r="P4" s="29" t="n">
        <f aca="false">EDATE(StartMonth,11)</f>
        <v>46722</v>
      </c>
      <c r="Q4" s="28" t="s">
        <v>42</v>
      </c>
    </row>
    <row r="5" customFormat="false" ht="15" hidden="false" customHeight="false" outlineLevel="0" collapsed="false">
      <c r="A5" s="30" t="s">
        <v>111</v>
      </c>
      <c r="B5" s="35" t="n">
        <v>1</v>
      </c>
      <c r="C5" s="33" t="n">
        <v>2500</v>
      </c>
      <c r="D5" s="35" t="n">
        <v>1</v>
      </c>
      <c r="E5" s="19" t="n">
        <f aca="false">IF(1&lt;$D$5,0,$B$5*$C$5*(1+Burden))</f>
        <v>2800</v>
      </c>
      <c r="F5" s="19" t="n">
        <f aca="false">IF(2&lt;$D$5,0,$B$5*$C$5*(1+Burden))</f>
        <v>2800</v>
      </c>
      <c r="G5" s="19" t="n">
        <f aca="false">IF(3&lt;$D$5,0,$B$5*$C$5*(1+Burden))</f>
        <v>2800</v>
      </c>
      <c r="H5" s="19" t="n">
        <f aca="false">IF(4&lt;$D$5,0,$B$5*$C$5*(1+Burden))</f>
        <v>2800</v>
      </c>
      <c r="I5" s="19" t="n">
        <f aca="false">IF(5&lt;$D$5,0,$B$5*$C$5*(1+Burden))</f>
        <v>2800</v>
      </c>
      <c r="J5" s="19" t="n">
        <f aca="false">IF(6&lt;$D$5,0,$B$5*$C$5*(1+Burden))</f>
        <v>2800</v>
      </c>
      <c r="K5" s="19" t="n">
        <f aca="false">IF(7&lt;$D$5,0,$B$5*$C$5*(1+Burden))</f>
        <v>2800</v>
      </c>
      <c r="L5" s="19" t="n">
        <f aca="false">IF(8&lt;$D$5,0,$B$5*$C$5*(1+Burden))</f>
        <v>2800</v>
      </c>
      <c r="M5" s="19" t="n">
        <f aca="false">IF(9&lt;$D$5,0,$B$5*$C$5*(1+Burden))</f>
        <v>2800</v>
      </c>
      <c r="N5" s="19" t="n">
        <f aca="false">IF(10&lt;$D$5,0,$B$5*$C$5*(1+Burden))</f>
        <v>2800</v>
      </c>
      <c r="O5" s="19" t="n">
        <f aca="false">IF(11&lt;$D$5,0,$B$5*$C$5*(1+Burden))</f>
        <v>2800</v>
      </c>
      <c r="P5" s="19" t="n">
        <f aca="false">IF(12&lt;$D$5,0,$B$5*$C$5*(1+Burden))</f>
        <v>2800</v>
      </c>
      <c r="Q5" s="19" t="n">
        <f aca="false">SUM(E5:P5)</f>
        <v>33600</v>
      </c>
    </row>
    <row r="6" customFormat="false" ht="15" hidden="false" customHeight="false" outlineLevel="0" collapsed="false">
      <c r="A6" s="30" t="s">
        <v>112</v>
      </c>
      <c r="B6" s="35" t="n">
        <v>1</v>
      </c>
      <c r="C6" s="33" t="n">
        <v>1200</v>
      </c>
      <c r="D6" s="35" t="n">
        <v>7</v>
      </c>
      <c r="E6" s="19" t="n">
        <f aca="false">IF(1&lt;$D$6,0,$B$6*$C$6*(1+Burden))</f>
        <v>0</v>
      </c>
      <c r="F6" s="19" t="n">
        <f aca="false">IF(2&lt;$D$6,0,$B$6*$C$6*(1+Burden))</f>
        <v>0</v>
      </c>
      <c r="G6" s="19" t="n">
        <f aca="false">IF(3&lt;$D$6,0,$B$6*$C$6*(1+Burden))</f>
        <v>0</v>
      </c>
      <c r="H6" s="19" t="n">
        <f aca="false">IF(4&lt;$D$6,0,$B$6*$C$6*(1+Burden))</f>
        <v>0</v>
      </c>
      <c r="I6" s="19" t="n">
        <f aca="false">IF(5&lt;$D$6,0,$B$6*$C$6*(1+Burden))</f>
        <v>0</v>
      </c>
      <c r="J6" s="19" t="n">
        <f aca="false">IF(6&lt;$D$6,0,$B$6*$C$6*(1+Burden))</f>
        <v>0</v>
      </c>
      <c r="K6" s="19" t="n">
        <f aca="false">IF(7&lt;$D$6,0,$B$6*$C$6*(1+Burden))</f>
        <v>1344</v>
      </c>
      <c r="L6" s="19" t="n">
        <f aca="false">IF(8&lt;$D$6,0,$B$6*$C$6*(1+Burden))</f>
        <v>1344</v>
      </c>
      <c r="M6" s="19" t="n">
        <f aca="false">IF(9&lt;$D$6,0,$B$6*$C$6*(1+Burden))</f>
        <v>1344</v>
      </c>
      <c r="N6" s="19" t="n">
        <f aca="false">IF(10&lt;$D$6,0,$B$6*$C$6*(1+Burden))</f>
        <v>1344</v>
      </c>
      <c r="O6" s="19" t="n">
        <f aca="false">IF(11&lt;$D$6,0,$B$6*$C$6*(1+Burden))</f>
        <v>1344</v>
      </c>
      <c r="P6" s="19" t="n">
        <f aca="false">IF(12&lt;$D$6,0,$B$6*$C$6*(1+Burden))</f>
        <v>1344</v>
      </c>
      <c r="Q6" s="19" t="n">
        <f aca="false">SUM(E6:P6)</f>
        <v>8064</v>
      </c>
    </row>
    <row r="7" customFormat="false" ht="15" hidden="false" customHeight="false" outlineLevel="0" collapsed="false">
      <c r="A7" s="30"/>
      <c r="B7" s="35" t="n">
        <v>0</v>
      </c>
      <c r="C7" s="33" t="n">
        <v>0</v>
      </c>
      <c r="D7" s="35" t="n">
        <v>1</v>
      </c>
      <c r="E7" s="19" t="n">
        <f aca="false">IF(1&lt;$D$7,0,$B$7*$C$7*(1+Burden))</f>
        <v>0</v>
      </c>
      <c r="F7" s="19" t="n">
        <f aca="false">IF(2&lt;$D$7,0,$B$7*$C$7*(1+Burden))</f>
        <v>0</v>
      </c>
      <c r="G7" s="19" t="n">
        <f aca="false">IF(3&lt;$D$7,0,$B$7*$C$7*(1+Burden))</f>
        <v>0</v>
      </c>
      <c r="H7" s="19" t="n">
        <f aca="false">IF(4&lt;$D$7,0,$B$7*$C$7*(1+Burden))</f>
        <v>0</v>
      </c>
      <c r="I7" s="19" t="n">
        <f aca="false">IF(5&lt;$D$7,0,$B$7*$C$7*(1+Burden))</f>
        <v>0</v>
      </c>
      <c r="J7" s="19" t="n">
        <f aca="false">IF(6&lt;$D$7,0,$B$7*$C$7*(1+Burden))</f>
        <v>0</v>
      </c>
      <c r="K7" s="19" t="n">
        <f aca="false">IF(7&lt;$D$7,0,$B$7*$C$7*(1+Burden))</f>
        <v>0</v>
      </c>
      <c r="L7" s="19" t="n">
        <f aca="false">IF(8&lt;$D$7,0,$B$7*$C$7*(1+Burden))</f>
        <v>0</v>
      </c>
      <c r="M7" s="19" t="n">
        <f aca="false">IF(9&lt;$D$7,0,$B$7*$C$7*(1+Burden))</f>
        <v>0</v>
      </c>
      <c r="N7" s="19" t="n">
        <f aca="false">IF(10&lt;$D$7,0,$B$7*$C$7*(1+Burden))</f>
        <v>0</v>
      </c>
      <c r="O7" s="19" t="n">
        <f aca="false">IF(11&lt;$D$7,0,$B$7*$C$7*(1+Burden))</f>
        <v>0</v>
      </c>
      <c r="P7" s="19" t="n">
        <f aca="false">IF(12&lt;$D$7,0,$B$7*$C$7*(1+Burden))</f>
        <v>0</v>
      </c>
      <c r="Q7" s="19" t="n">
        <f aca="false">SUM(E7:P7)</f>
        <v>0</v>
      </c>
    </row>
    <row r="8" customFormat="false" ht="15" hidden="false" customHeight="false" outlineLevel="0" collapsed="false">
      <c r="A8" s="30"/>
      <c r="B8" s="35" t="n">
        <v>0</v>
      </c>
      <c r="C8" s="33" t="n">
        <v>0</v>
      </c>
      <c r="D8" s="35" t="n">
        <v>1</v>
      </c>
      <c r="E8" s="19" t="n">
        <f aca="false">IF(1&lt;$D$8,0,$B$8*$C$8*(1+Burden))</f>
        <v>0</v>
      </c>
      <c r="F8" s="19" t="n">
        <f aca="false">IF(2&lt;$D$8,0,$B$8*$C$8*(1+Burden))</f>
        <v>0</v>
      </c>
      <c r="G8" s="19" t="n">
        <f aca="false">IF(3&lt;$D$8,0,$B$8*$C$8*(1+Burden))</f>
        <v>0</v>
      </c>
      <c r="H8" s="19" t="n">
        <f aca="false">IF(4&lt;$D$8,0,$B$8*$C$8*(1+Burden))</f>
        <v>0</v>
      </c>
      <c r="I8" s="19" t="n">
        <f aca="false">IF(5&lt;$D$8,0,$B$8*$C$8*(1+Burden))</f>
        <v>0</v>
      </c>
      <c r="J8" s="19" t="n">
        <f aca="false">IF(6&lt;$D$8,0,$B$8*$C$8*(1+Burden))</f>
        <v>0</v>
      </c>
      <c r="K8" s="19" t="n">
        <f aca="false">IF(7&lt;$D$8,0,$B$8*$C$8*(1+Burden))</f>
        <v>0</v>
      </c>
      <c r="L8" s="19" t="n">
        <f aca="false">IF(8&lt;$D$8,0,$B$8*$C$8*(1+Burden))</f>
        <v>0</v>
      </c>
      <c r="M8" s="19" t="n">
        <f aca="false">IF(9&lt;$D$8,0,$B$8*$C$8*(1+Burden))</f>
        <v>0</v>
      </c>
      <c r="N8" s="19" t="n">
        <f aca="false">IF(10&lt;$D$8,0,$B$8*$C$8*(1+Burden))</f>
        <v>0</v>
      </c>
      <c r="O8" s="19" t="n">
        <f aca="false">IF(11&lt;$D$8,0,$B$8*$C$8*(1+Burden))</f>
        <v>0</v>
      </c>
      <c r="P8" s="19" t="n">
        <f aca="false">IF(12&lt;$D$8,0,$B$8*$C$8*(1+Burden))</f>
        <v>0</v>
      </c>
      <c r="Q8" s="19" t="n">
        <f aca="false">SUM(E8:P8)</f>
        <v>0</v>
      </c>
    </row>
    <row r="9" customFormat="false" ht="15" hidden="false" customHeight="false" outlineLevel="0" collapsed="false">
      <c r="A9" s="30"/>
      <c r="B9" s="35" t="n">
        <v>0</v>
      </c>
      <c r="C9" s="33" t="n">
        <v>0</v>
      </c>
      <c r="D9" s="35" t="n">
        <v>1</v>
      </c>
      <c r="E9" s="19" t="n">
        <f aca="false">IF(1&lt;$D$9,0,$B$9*$C$9*(1+Burden))</f>
        <v>0</v>
      </c>
      <c r="F9" s="19" t="n">
        <f aca="false">IF(2&lt;$D$9,0,$B$9*$C$9*(1+Burden))</f>
        <v>0</v>
      </c>
      <c r="G9" s="19" t="n">
        <f aca="false">IF(3&lt;$D$9,0,$B$9*$C$9*(1+Burden))</f>
        <v>0</v>
      </c>
      <c r="H9" s="19" t="n">
        <f aca="false">IF(4&lt;$D$9,0,$B$9*$C$9*(1+Burden))</f>
        <v>0</v>
      </c>
      <c r="I9" s="19" t="n">
        <f aca="false">IF(5&lt;$D$9,0,$B$9*$C$9*(1+Burden))</f>
        <v>0</v>
      </c>
      <c r="J9" s="19" t="n">
        <f aca="false">IF(6&lt;$D$9,0,$B$9*$C$9*(1+Burden))</f>
        <v>0</v>
      </c>
      <c r="K9" s="19" t="n">
        <f aca="false">IF(7&lt;$D$9,0,$B$9*$C$9*(1+Burden))</f>
        <v>0</v>
      </c>
      <c r="L9" s="19" t="n">
        <f aca="false">IF(8&lt;$D$9,0,$B$9*$C$9*(1+Burden))</f>
        <v>0</v>
      </c>
      <c r="M9" s="19" t="n">
        <f aca="false">IF(9&lt;$D$9,0,$B$9*$C$9*(1+Burden))</f>
        <v>0</v>
      </c>
      <c r="N9" s="19" t="n">
        <f aca="false">IF(10&lt;$D$9,0,$B$9*$C$9*(1+Burden))</f>
        <v>0</v>
      </c>
      <c r="O9" s="19" t="n">
        <f aca="false">IF(11&lt;$D$9,0,$B$9*$C$9*(1+Burden))</f>
        <v>0</v>
      </c>
      <c r="P9" s="19" t="n">
        <f aca="false">IF(12&lt;$D$9,0,$B$9*$C$9*(1+Burden))</f>
        <v>0</v>
      </c>
      <c r="Q9" s="19" t="n">
        <f aca="false">SUM(E9:P9)</f>
        <v>0</v>
      </c>
    </row>
    <row r="10" customFormat="false" ht="15" hidden="false" customHeight="false" outlineLevel="0" collapsed="false">
      <c r="A10" s="32" t="s">
        <v>113</v>
      </c>
      <c r="E10" s="15" t="n">
        <f aca="false">SUM(E5:E9)</f>
        <v>2800</v>
      </c>
      <c r="F10" s="15" t="n">
        <f aca="false">SUM(F5:F9)</f>
        <v>2800</v>
      </c>
      <c r="G10" s="15" t="n">
        <f aca="false">SUM(G5:G9)</f>
        <v>2800</v>
      </c>
      <c r="H10" s="15" t="n">
        <f aca="false">SUM(H5:H9)</f>
        <v>2800</v>
      </c>
      <c r="I10" s="15" t="n">
        <f aca="false">SUM(I5:I9)</f>
        <v>2800</v>
      </c>
      <c r="J10" s="15" t="n">
        <f aca="false">SUM(J5:J9)</f>
        <v>2800</v>
      </c>
      <c r="K10" s="15" t="n">
        <f aca="false">SUM(K5:K9)</f>
        <v>4144</v>
      </c>
      <c r="L10" s="15" t="n">
        <f aca="false">SUM(L5:L9)</f>
        <v>4144</v>
      </c>
      <c r="M10" s="15" t="n">
        <f aca="false">SUM(M5:M9)</f>
        <v>4144</v>
      </c>
      <c r="N10" s="15" t="n">
        <f aca="false">SUM(N5:N9)</f>
        <v>4144</v>
      </c>
      <c r="O10" s="15" t="n">
        <f aca="false">SUM(O5:O9)</f>
        <v>4144</v>
      </c>
      <c r="P10" s="15" t="n">
        <f aca="false">SUM(P5:P9)</f>
        <v>4144</v>
      </c>
      <c r="Q10" s="15" t="n">
        <f aca="false">SUM(Q5:Q9)</f>
        <v>41664</v>
      </c>
    </row>
    <row r="12" customFormat="false" ht="15" hidden="false" customHeight="false" outlineLevel="0" collapsed="false">
      <c r="A12" s="11" t="s">
        <v>114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0"/>
    <col collapsed="false" customWidth="true" hidden="false" outlineLevel="0" max="4" min="2" style="0" width="13"/>
    <col collapsed="false" customWidth="true" hidden="false" outlineLevel="0" max="19" min="5" style="0" width="12"/>
  </cols>
  <sheetData>
    <row r="1" customFormat="false" ht="24" hidden="false" customHeight="true" outlineLevel="0" collapsed="false">
      <c r="A1" s="13" t="s">
        <v>13</v>
      </c>
    </row>
    <row r="2" customFormat="false" ht="15" hidden="false" customHeight="false" outlineLevel="0" collapsed="false">
      <c r="A2" s="14" t="s">
        <v>115</v>
      </c>
    </row>
    <row r="4" customFormat="false" ht="15" hidden="false" customHeight="false" outlineLevel="0" collapsed="false">
      <c r="A4" s="28" t="s">
        <v>116</v>
      </c>
      <c r="B4" s="28" t="s">
        <v>117</v>
      </c>
      <c r="C4" s="28" t="s">
        <v>118</v>
      </c>
      <c r="D4" s="28" t="s">
        <v>119</v>
      </c>
      <c r="F4" s="29" t="n">
        <f aca="false">EDATE(StartMonth,0)</f>
        <v>46388</v>
      </c>
      <c r="G4" s="29" t="n">
        <f aca="false">EDATE(StartMonth,1)</f>
        <v>46419</v>
      </c>
      <c r="H4" s="29" t="n">
        <f aca="false">EDATE(StartMonth,2)</f>
        <v>46447</v>
      </c>
      <c r="I4" s="29" t="n">
        <f aca="false">EDATE(StartMonth,3)</f>
        <v>46478</v>
      </c>
      <c r="J4" s="29" t="n">
        <f aca="false">EDATE(StartMonth,4)</f>
        <v>46508</v>
      </c>
      <c r="K4" s="29" t="n">
        <f aca="false">EDATE(StartMonth,5)</f>
        <v>46539</v>
      </c>
      <c r="L4" s="29" t="n">
        <f aca="false">EDATE(StartMonth,6)</f>
        <v>46569</v>
      </c>
      <c r="M4" s="29" t="n">
        <f aca="false">EDATE(StartMonth,7)</f>
        <v>46600</v>
      </c>
      <c r="N4" s="29" t="n">
        <f aca="false">EDATE(StartMonth,8)</f>
        <v>46631</v>
      </c>
      <c r="O4" s="29" t="n">
        <f aca="false">EDATE(StartMonth,9)</f>
        <v>46661</v>
      </c>
      <c r="P4" s="29" t="n">
        <f aca="false">EDATE(StartMonth,10)</f>
        <v>46692</v>
      </c>
      <c r="Q4" s="29" t="n">
        <f aca="false">EDATE(StartMonth,11)</f>
        <v>46722</v>
      </c>
      <c r="R4" s="18" t="s">
        <v>42</v>
      </c>
      <c r="S4" s="18" t="s">
        <v>43</v>
      </c>
      <c r="T4" s="18" t="s">
        <v>44</v>
      </c>
      <c r="U4" s="18" t="s">
        <v>45</v>
      </c>
      <c r="V4" s="18" t="s">
        <v>46</v>
      </c>
    </row>
    <row r="5" customFormat="false" ht="15" hidden="false" customHeight="false" outlineLevel="0" collapsed="false">
      <c r="A5" s="30" t="s">
        <v>120</v>
      </c>
      <c r="B5" s="33" t="n">
        <v>12000</v>
      </c>
      <c r="C5" s="35" t="n">
        <v>1</v>
      </c>
      <c r="D5" s="35" t="n">
        <v>5</v>
      </c>
      <c r="F5" s="19" t="n">
        <f aca="false">IF($D$5=0,0,IF(AND(1&gt;=$C$5,1&lt;$C$5+$D$5*12),$B$5/($D$5*12),0))</f>
        <v>200</v>
      </c>
      <c r="G5" s="19" t="n">
        <f aca="false">IF($D$5=0,0,IF(AND(2&gt;=$C$5,2&lt;$C$5+$D$5*12),$B$5/($D$5*12),0))</f>
        <v>200</v>
      </c>
      <c r="H5" s="19" t="n">
        <f aca="false">IF($D$5=0,0,IF(AND(3&gt;=$C$5,3&lt;$C$5+$D$5*12),$B$5/($D$5*12),0))</f>
        <v>200</v>
      </c>
      <c r="I5" s="19" t="n">
        <f aca="false">IF($D$5=0,0,IF(AND(4&gt;=$C$5,4&lt;$C$5+$D$5*12),$B$5/($D$5*12),0))</f>
        <v>200</v>
      </c>
      <c r="J5" s="19" t="n">
        <f aca="false">IF($D$5=0,0,IF(AND(5&gt;=$C$5,5&lt;$C$5+$D$5*12),$B$5/($D$5*12),0))</f>
        <v>200</v>
      </c>
      <c r="K5" s="19" t="n">
        <f aca="false">IF($D$5=0,0,IF(AND(6&gt;=$C$5,6&lt;$C$5+$D$5*12),$B$5/($D$5*12),0))</f>
        <v>200</v>
      </c>
      <c r="L5" s="19" t="n">
        <f aca="false">IF($D$5=0,0,IF(AND(7&gt;=$C$5,7&lt;$C$5+$D$5*12),$B$5/($D$5*12),0))</f>
        <v>200</v>
      </c>
      <c r="M5" s="19" t="n">
        <f aca="false">IF($D$5=0,0,IF(AND(8&gt;=$C$5,8&lt;$C$5+$D$5*12),$B$5/($D$5*12),0))</f>
        <v>200</v>
      </c>
      <c r="N5" s="19" t="n">
        <f aca="false">IF($D$5=0,0,IF(AND(9&gt;=$C$5,9&lt;$C$5+$D$5*12),$B$5/($D$5*12),0))</f>
        <v>200</v>
      </c>
      <c r="O5" s="19" t="n">
        <f aca="false">IF($D$5=0,0,IF(AND(10&gt;=$C$5,10&lt;$C$5+$D$5*12),$B$5/($D$5*12),0))</f>
        <v>200</v>
      </c>
      <c r="P5" s="19" t="n">
        <f aca="false">IF($D$5=0,0,IF(AND(11&gt;=$C$5,11&lt;$C$5+$D$5*12),$B$5/($D$5*12),0))</f>
        <v>200</v>
      </c>
      <c r="Q5" s="19" t="n">
        <f aca="false">IF($D$5=0,0,IF(AND(12&gt;=$C$5,12&lt;$C$5+$D$5*12),$B$5/($D$5*12),0))</f>
        <v>200</v>
      </c>
      <c r="R5" s="19" t="n">
        <f aca="false">SUM(F5:Q5)</f>
        <v>2400</v>
      </c>
    </row>
    <row r="6" customFormat="false" ht="15" hidden="false" customHeight="false" outlineLevel="0" collapsed="false">
      <c r="A6" s="30" t="s">
        <v>121</v>
      </c>
      <c r="B6" s="33" t="n">
        <v>8000</v>
      </c>
      <c r="C6" s="35" t="n">
        <v>1</v>
      </c>
      <c r="D6" s="35" t="n">
        <v>10</v>
      </c>
      <c r="F6" s="19" t="n">
        <f aca="false">IF($D$6=0,0,IF(AND(1&gt;=$C$6,1&lt;$C$6+$D$6*12),$B$6/($D$6*12),0))</f>
        <v>66.6666666666667</v>
      </c>
      <c r="G6" s="19" t="n">
        <f aca="false">IF($D$6=0,0,IF(AND(2&gt;=$C$6,2&lt;$C$6+$D$6*12),$B$6/($D$6*12),0))</f>
        <v>66.6666666666667</v>
      </c>
      <c r="H6" s="19" t="n">
        <f aca="false">IF($D$6=0,0,IF(AND(3&gt;=$C$6,3&lt;$C$6+$D$6*12),$B$6/($D$6*12),0))</f>
        <v>66.6666666666667</v>
      </c>
      <c r="I6" s="19" t="n">
        <f aca="false">IF($D$6=0,0,IF(AND(4&gt;=$C$6,4&lt;$C$6+$D$6*12),$B$6/($D$6*12),0))</f>
        <v>66.6666666666667</v>
      </c>
      <c r="J6" s="19" t="n">
        <f aca="false">IF($D$6=0,0,IF(AND(5&gt;=$C$6,5&lt;$C$6+$D$6*12),$B$6/($D$6*12),0))</f>
        <v>66.6666666666667</v>
      </c>
      <c r="K6" s="19" t="n">
        <f aca="false">IF($D$6=0,0,IF(AND(6&gt;=$C$6,6&lt;$C$6+$D$6*12),$B$6/($D$6*12),0))</f>
        <v>66.6666666666667</v>
      </c>
      <c r="L6" s="19" t="n">
        <f aca="false">IF($D$6=0,0,IF(AND(7&gt;=$C$6,7&lt;$C$6+$D$6*12),$B$6/($D$6*12),0))</f>
        <v>66.6666666666667</v>
      </c>
      <c r="M6" s="19" t="n">
        <f aca="false">IF($D$6=0,0,IF(AND(8&gt;=$C$6,8&lt;$C$6+$D$6*12),$B$6/($D$6*12),0))</f>
        <v>66.6666666666667</v>
      </c>
      <c r="N6" s="19" t="n">
        <f aca="false">IF($D$6=0,0,IF(AND(9&gt;=$C$6,9&lt;$C$6+$D$6*12),$B$6/($D$6*12),0))</f>
        <v>66.6666666666667</v>
      </c>
      <c r="O6" s="19" t="n">
        <f aca="false">IF($D$6=0,0,IF(AND(10&gt;=$C$6,10&lt;$C$6+$D$6*12),$B$6/($D$6*12),0))</f>
        <v>66.6666666666667</v>
      </c>
      <c r="P6" s="19" t="n">
        <f aca="false">IF($D$6=0,0,IF(AND(11&gt;=$C$6,11&lt;$C$6+$D$6*12),$B$6/($D$6*12),0))</f>
        <v>66.6666666666667</v>
      </c>
      <c r="Q6" s="19" t="n">
        <f aca="false">IF($D$6=0,0,IF(AND(12&gt;=$C$6,12&lt;$C$6+$D$6*12),$B$6/($D$6*12),0))</f>
        <v>66.6666666666667</v>
      </c>
      <c r="R6" s="19" t="n">
        <f aca="false">SUM(F6:Q6)</f>
        <v>800</v>
      </c>
    </row>
    <row r="7" customFormat="false" ht="15" hidden="false" customHeight="false" outlineLevel="0" collapsed="false">
      <c r="A7" s="30" t="s">
        <v>122</v>
      </c>
      <c r="B7" s="33" t="n">
        <v>3500</v>
      </c>
      <c r="C7" s="35" t="n">
        <v>4</v>
      </c>
      <c r="D7" s="35" t="n">
        <v>3</v>
      </c>
      <c r="F7" s="19" t="n">
        <f aca="false">IF($D$7=0,0,IF(AND(1&gt;=$C$7,1&lt;$C$7+$D$7*12),$B$7/($D$7*12),0))</f>
        <v>0</v>
      </c>
      <c r="G7" s="19" t="n">
        <f aca="false">IF($D$7=0,0,IF(AND(2&gt;=$C$7,2&lt;$C$7+$D$7*12),$B$7/($D$7*12),0))</f>
        <v>0</v>
      </c>
      <c r="H7" s="19" t="n">
        <f aca="false">IF($D$7=0,0,IF(AND(3&gt;=$C$7,3&lt;$C$7+$D$7*12),$B$7/($D$7*12),0))</f>
        <v>0</v>
      </c>
      <c r="I7" s="19" t="n">
        <f aca="false">IF($D$7=0,0,IF(AND(4&gt;=$C$7,4&lt;$C$7+$D$7*12),$B$7/($D$7*12),0))</f>
        <v>97.2222222222222</v>
      </c>
      <c r="J7" s="19" t="n">
        <f aca="false">IF($D$7=0,0,IF(AND(5&gt;=$C$7,5&lt;$C$7+$D$7*12),$B$7/($D$7*12),0))</f>
        <v>97.2222222222222</v>
      </c>
      <c r="K7" s="19" t="n">
        <f aca="false">IF($D$7=0,0,IF(AND(6&gt;=$C$7,6&lt;$C$7+$D$7*12),$B$7/($D$7*12),0))</f>
        <v>97.2222222222222</v>
      </c>
      <c r="L7" s="19" t="n">
        <f aca="false">IF($D$7=0,0,IF(AND(7&gt;=$C$7,7&lt;$C$7+$D$7*12),$B$7/($D$7*12),0))</f>
        <v>97.2222222222222</v>
      </c>
      <c r="M7" s="19" t="n">
        <f aca="false">IF($D$7=0,0,IF(AND(8&gt;=$C$7,8&lt;$C$7+$D$7*12),$B$7/($D$7*12),0))</f>
        <v>97.2222222222222</v>
      </c>
      <c r="N7" s="19" t="n">
        <f aca="false">IF($D$7=0,0,IF(AND(9&gt;=$C$7,9&lt;$C$7+$D$7*12),$B$7/($D$7*12),0))</f>
        <v>97.2222222222222</v>
      </c>
      <c r="O7" s="19" t="n">
        <f aca="false">IF($D$7=0,0,IF(AND(10&gt;=$C$7,10&lt;$C$7+$D$7*12),$B$7/($D$7*12),0))</f>
        <v>97.2222222222222</v>
      </c>
      <c r="P7" s="19" t="n">
        <f aca="false">IF($D$7=0,0,IF(AND(11&gt;=$C$7,11&lt;$C$7+$D$7*12),$B$7/($D$7*12),0))</f>
        <v>97.2222222222222</v>
      </c>
      <c r="Q7" s="19" t="n">
        <f aca="false">IF($D$7=0,0,IF(AND(12&gt;=$C$7,12&lt;$C$7+$D$7*12),$B$7/($D$7*12),0))</f>
        <v>97.2222222222222</v>
      </c>
      <c r="R7" s="19" t="n">
        <f aca="false">SUM(F7:Q7)</f>
        <v>875</v>
      </c>
    </row>
    <row r="8" customFormat="false" ht="15" hidden="false" customHeight="false" outlineLevel="0" collapsed="false">
      <c r="A8" s="30"/>
      <c r="B8" s="33" t="n">
        <v>0</v>
      </c>
      <c r="C8" s="35" t="n">
        <v>1</v>
      </c>
      <c r="D8" s="35" t="n">
        <v>5</v>
      </c>
      <c r="F8" s="19" t="n">
        <f aca="false">IF($D$8=0,0,IF(AND(1&gt;=$C$8,1&lt;$C$8+$D$8*12),$B$8/($D$8*12),0))</f>
        <v>0</v>
      </c>
      <c r="G8" s="19" t="n">
        <f aca="false">IF($D$8=0,0,IF(AND(2&gt;=$C$8,2&lt;$C$8+$D$8*12),$B$8/($D$8*12),0))</f>
        <v>0</v>
      </c>
      <c r="H8" s="19" t="n">
        <f aca="false">IF($D$8=0,0,IF(AND(3&gt;=$C$8,3&lt;$C$8+$D$8*12),$B$8/($D$8*12),0))</f>
        <v>0</v>
      </c>
      <c r="I8" s="19" t="n">
        <f aca="false">IF($D$8=0,0,IF(AND(4&gt;=$C$8,4&lt;$C$8+$D$8*12),$B$8/($D$8*12),0))</f>
        <v>0</v>
      </c>
      <c r="J8" s="19" t="n">
        <f aca="false">IF($D$8=0,0,IF(AND(5&gt;=$C$8,5&lt;$C$8+$D$8*12),$B$8/($D$8*12),0))</f>
        <v>0</v>
      </c>
      <c r="K8" s="19" t="n">
        <f aca="false">IF($D$8=0,0,IF(AND(6&gt;=$C$8,6&lt;$C$8+$D$8*12),$B$8/($D$8*12),0))</f>
        <v>0</v>
      </c>
      <c r="L8" s="19" t="n">
        <f aca="false">IF($D$8=0,0,IF(AND(7&gt;=$C$8,7&lt;$C$8+$D$8*12),$B$8/($D$8*12),0))</f>
        <v>0</v>
      </c>
      <c r="M8" s="19" t="n">
        <f aca="false">IF($D$8=0,0,IF(AND(8&gt;=$C$8,8&lt;$C$8+$D$8*12),$B$8/($D$8*12),0))</f>
        <v>0</v>
      </c>
      <c r="N8" s="19" t="n">
        <f aca="false">IF($D$8=0,0,IF(AND(9&gt;=$C$8,9&lt;$C$8+$D$8*12),$B$8/($D$8*12),0))</f>
        <v>0</v>
      </c>
      <c r="O8" s="19" t="n">
        <f aca="false">IF($D$8=0,0,IF(AND(10&gt;=$C$8,10&lt;$C$8+$D$8*12),$B$8/($D$8*12),0))</f>
        <v>0</v>
      </c>
      <c r="P8" s="19" t="n">
        <f aca="false">IF($D$8=0,0,IF(AND(11&gt;=$C$8,11&lt;$C$8+$D$8*12),$B$8/($D$8*12),0))</f>
        <v>0</v>
      </c>
      <c r="Q8" s="19" t="n">
        <f aca="false">IF($D$8=0,0,IF(AND(12&gt;=$C$8,12&lt;$C$8+$D$8*12),$B$8/($D$8*12),0))</f>
        <v>0</v>
      </c>
      <c r="R8" s="19" t="n">
        <f aca="false">SUM(F8:Q8)</f>
        <v>0</v>
      </c>
    </row>
    <row r="9" customFormat="false" ht="15" hidden="false" customHeight="false" outlineLevel="0" collapsed="false">
      <c r="A9" s="32" t="s">
        <v>123</v>
      </c>
      <c r="F9" s="15" t="n">
        <f aca="false">SUM(F5:F8)</f>
        <v>266.666666666667</v>
      </c>
      <c r="G9" s="15" t="n">
        <f aca="false">SUM(G5:G8)</f>
        <v>266.666666666667</v>
      </c>
      <c r="H9" s="15" t="n">
        <f aca="false">SUM(H5:H8)</f>
        <v>266.666666666667</v>
      </c>
      <c r="I9" s="15" t="n">
        <f aca="false">SUM(I5:I8)</f>
        <v>363.888888888889</v>
      </c>
      <c r="J9" s="15" t="n">
        <f aca="false">SUM(J5:J8)</f>
        <v>363.888888888889</v>
      </c>
      <c r="K9" s="15" t="n">
        <f aca="false">SUM(K5:K8)</f>
        <v>363.888888888889</v>
      </c>
      <c r="L9" s="15" t="n">
        <f aca="false">SUM(L5:L8)</f>
        <v>363.888888888889</v>
      </c>
      <c r="M9" s="15" t="n">
        <f aca="false">SUM(M5:M8)</f>
        <v>363.888888888889</v>
      </c>
      <c r="N9" s="15" t="n">
        <f aca="false">SUM(N5:N8)</f>
        <v>363.888888888889</v>
      </c>
      <c r="O9" s="15" t="n">
        <f aca="false">SUM(O5:O8)</f>
        <v>363.888888888889</v>
      </c>
      <c r="P9" s="15" t="n">
        <f aca="false">SUM(P5:P8)</f>
        <v>363.888888888889</v>
      </c>
      <c r="Q9" s="15" t="n">
        <f aca="false">SUM(Q5:Q8)</f>
        <v>363.888888888889</v>
      </c>
      <c r="R9" s="15" t="n">
        <f aca="false">SUM(F9:Q9)</f>
        <v>4075</v>
      </c>
      <c r="S9" s="15" t="n">
        <f aca="false">MAX(0,MIN(Capital!$B$11,SUM($B$5:$B$8)-(SUM($F$9:$Q$9))))</f>
        <v>4366.66666666667</v>
      </c>
      <c r="T9" s="15" t="n">
        <f aca="false">MAX(0,MIN(Capital!$B$11,SUM($B$5:$B$8)-(SUM($F$9:$Q$9)+SUM($S$9:S9))))</f>
        <v>4366.66666666667</v>
      </c>
      <c r="U9" s="15" t="n">
        <f aca="false">MAX(0,MIN(Capital!$B$11,SUM($B$5:$B$8)-(SUM($F$9:$Q$9)+SUM($S$9:T9))))</f>
        <v>4366.66666666667</v>
      </c>
      <c r="V9" s="15" t="n">
        <f aca="false">MAX(0,MIN(Capital!$B$11,SUM($B$5:$B$8)-(SUM($F$9:$Q$9)+SUM($S$9:U9))))</f>
        <v>4366.66666666667</v>
      </c>
    </row>
    <row r="10" customFormat="false" ht="15" hidden="false" customHeight="false" outlineLevel="0" collapsed="false">
      <c r="A10" s="32" t="s">
        <v>124</v>
      </c>
      <c r="F10" s="15" t="n">
        <f aca="false">SUMPRODUCT(($C$5:$C$8=1)*$B$5:$B$8)</f>
        <v>20000</v>
      </c>
      <c r="G10" s="15" t="n">
        <f aca="false">SUMPRODUCT(($C$5:$C$8=2)*$B$5:$B$8)</f>
        <v>0</v>
      </c>
      <c r="H10" s="15" t="n">
        <f aca="false">SUMPRODUCT(($C$5:$C$8=3)*$B$5:$B$8)</f>
        <v>0</v>
      </c>
      <c r="I10" s="15" t="n">
        <f aca="false">SUMPRODUCT(($C$5:$C$8=4)*$B$5:$B$8)</f>
        <v>3500</v>
      </c>
      <c r="J10" s="15" t="n">
        <f aca="false">SUMPRODUCT(($C$5:$C$8=5)*$B$5:$B$8)</f>
        <v>0</v>
      </c>
      <c r="K10" s="15" t="n">
        <f aca="false">SUMPRODUCT(($C$5:$C$8=6)*$B$5:$B$8)</f>
        <v>0</v>
      </c>
      <c r="L10" s="15" t="n">
        <f aca="false">SUMPRODUCT(($C$5:$C$8=7)*$B$5:$B$8)</f>
        <v>0</v>
      </c>
      <c r="M10" s="15" t="n">
        <f aca="false">SUMPRODUCT(($C$5:$C$8=8)*$B$5:$B$8)</f>
        <v>0</v>
      </c>
      <c r="N10" s="15" t="n">
        <f aca="false">SUMPRODUCT(($C$5:$C$8=9)*$B$5:$B$8)</f>
        <v>0</v>
      </c>
      <c r="O10" s="15" t="n">
        <f aca="false">SUMPRODUCT(($C$5:$C$8=10)*$B$5:$B$8)</f>
        <v>0</v>
      </c>
      <c r="P10" s="15" t="n">
        <f aca="false">SUMPRODUCT(($C$5:$C$8=11)*$B$5:$B$8)</f>
        <v>0</v>
      </c>
      <c r="Q10" s="15" t="n">
        <f aca="false">SUMPRODUCT(($C$5:$C$8=12)*$B$5:$B$8)</f>
        <v>0</v>
      </c>
      <c r="R10" s="15" t="n">
        <f aca="false">SUM(F10:Q10)</f>
        <v>23500</v>
      </c>
      <c r="S10" s="15" t="n">
        <v>0</v>
      </c>
      <c r="T10" s="15" t="n">
        <v>0</v>
      </c>
      <c r="U10" s="15" t="n">
        <v>0</v>
      </c>
      <c r="V10" s="15" t="n">
        <v>0</v>
      </c>
    </row>
    <row r="11" customFormat="false" ht="15" hidden="false" customHeight="false" outlineLevel="0" collapsed="false">
      <c r="A11" s="11" t="s">
        <v>125</v>
      </c>
      <c r="B11" s="34" t="n">
        <f aca="false">SUMPRODUCT(($D$5:$D$8&gt;0)*$B$5:$B$8/($D$5:$D$8+($D$5:$D$8=0)))</f>
        <v>4366.66666666667</v>
      </c>
    </row>
    <row r="13" customFormat="false" ht="15" hidden="false" customHeight="false" outlineLevel="0" collapsed="false">
      <c r="A13" s="3" t="s">
        <v>126</v>
      </c>
      <c r="B13" s="28" t="s">
        <v>127</v>
      </c>
      <c r="C13" s="28" t="s">
        <v>128</v>
      </c>
      <c r="D13" s="28" t="s">
        <v>129</v>
      </c>
      <c r="E13" s="28" t="s">
        <v>130</v>
      </c>
      <c r="F13" s="29" t="n">
        <f aca="false">EDATE(StartMonth,0)</f>
        <v>46388</v>
      </c>
      <c r="G13" s="29" t="n">
        <f aca="false">EDATE(StartMonth,1)</f>
        <v>46419</v>
      </c>
      <c r="H13" s="29" t="n">
        <f aca="false">EDATE(StartMonth,2)</f>
        <v>46447</v>
      </c>
      <c r="I13" s="29" t="n">
        <f aca="false">EDATE(StartMonth,3)</f>
        <v>46478</v>
      </c>
      <c r="J13" s="29" t="n">
        <f aca="false">EDATE(StartMonth,4)</f>
        <v>46508</v>
      </c>
      <c r="K13" s="29" t="n">
        <f aca="false">EDATE(StartMonth,5)</f>
        <v>46539</v>
      </c>
      <c r="L13" s="29" t="n">
        <f aca="false">EDATE(StartMonth,6)</f>
        <v>46569</v>
      </c>
      <c r="M13" s="29" t="n">
        <f aca="false">EDATE(StartMonth,7)</f>
        <v>46600</v>
      </c>
      <c r="N13" s="29" t="n">
        <f aca="false">EDATE(StartMonth,8)</f>
        <v>46631</v>
      </c>
      <c r="O13" s="29" t="n">
        <f aca="false">EDATE(StartMonth,9)</f>
        <v>46661</v>
      </c>
      <c r="P13" s="29" t="n">
        <f aca="false">EDATE(StartMonth,10)</f>
        <v>46692</v>
      </c>
      <c r="Q13" s="29" t="n">
        <f aca="false">EDATE(StartMonth,11)</f>
        <v>46722</v>
      </c>
      <c r="R13" s="18" t="s">
        <v>42</v>
      </c>
      <c r="S13" s="18" t="s">
        <v>43</v>
      </c>
      <c r="T13" s="18" t="s">
        <v>44</v>
      </c>
      <c r="U13" s="18" t="s">
        <v>45</v>
      </c>
      <c r="V13" s="18" t="s">
        <v>46</v>
      </c>
    </row>
    <row r="14" customFormat="false" ht="15" hidden="false" customHeight="false" outlineLevel="0" collapsed="false">
      <c r="A14" s="30" t="s">
        <v>131</v>
      </c>
      <c r="B14" s="33" t="n">
        <v>15000</v>
      </c>
      <c r="C14" s="35" t="n">
        <v>1</v>
      </c>
      <c r="D14" s="35" t="n">
        <v>48</v>
      </c>
      <c r="E14" s="36" t="n">
        <v>0.09</v>
      </c>
    </row>
    <row r="15" customFormat="false" ht="15" hidden="false" customHeight="false" outlineLevel="0" collapsed="false">
      <c r="A15" s="11" t="s">
        <v>132</v>
      </c>
      <c r="F15" s="37" t="n">
        <f aca="false">IF(1=$C$14,$B$14,0)</f>
        <v>15000</v>
      </c>
      <c r="G15" s="37" t="n">
        <f aca="false">IF(2=$C$14,$B$14,0)</f>
        <v>0</v>
      </c>
      <c r="H15" s="37" t="n">
        <f aca="false">IF(3=$C$14,$B$14,0)</f>
        <v>0</v>
      </c>
      <c r="I15" s="37" t="n">
        <f aca="false">IF(4=$C$14,$B$14,0)</f>
        <v>0</v>
      </c>
      <c r="J15" s="37" t="n">
        <f aca="false">IF(5=$C$14,$B$14,0)</f>
        <v>0</v>
      </c>
      <c r="K15" s="37" t="n">
        <f aca="false">IF(6=$C$14,$B$14,0)</f>
        <v>0</v>
      </c>
      <c r="L15" s="37" t="n">
        <f aca="false">IF(7=$C$14,$B$14,0)</f>
        <v>0</v>
      </c>
      <c r="M15" s="37" t="n">
        <f aca="false">IF(8=$C$14,$B$14,0)</f>
        <v>0</v>
      </c>
      <c r="N15" s="37" t="n">
        <f aca="false">IF(9=$C$14,$B$14,0)</f>
        <v>0</v>
      </c>
      <c r="O15" s="37" t="n">
        <f aca="false">IF(10=$C$14,$B$14,0)</f>
        <v>0</v>
      </c>
      <c r="P15" s="37" t="n">
        <f aca="false">IF(11=$C$14,$B$14,0)</f>
        <v>0</v>
      </c>
      <c r="Q15" s="37" t="n">
        <f aca="false">IF(12=$C$14,$B$14,0)</f>
        <v>0</v>
      </c>
      <c r="R15" s="37" t="n">
        <f aca="false">SUM(F15:Q15)</f>
        <v>15000</v>
      </c>
      <c r="S15" s="37" t="n">
        <v>0</v>
      </c>
      <c r="T15" s="37" t="n">
        <v>0</v>
      </c>
      <c r="U15" s="37" t="n">
        <v>0</v>
      </c>
      <c r="V15" s="37" t="n">
        <v>0</v>
      </c>
    </row>
    <row r="16" customFormat="false" ht="15" hidden="false" customHeight="false" outlineLevel="0" collapsed="false">
      <c r="A16" s="11" t="s">
        <v>133</v>
      </c>
      <c r="F16" s="37" t="n">
        <f aca="false">0</f>
        <v>0</v>
      </c>
      <c r="G16" s="37" t="n">
        <f aca="false">F18*$E$14/12</f>
        <v>112.5</v>
      </c>
      <c r="H16" s="37" t="n">
        <f aca="false">G18*$E$14/12</f>
        <v>110.15625</v>
      </c>
      <c r="I16" s="37" t="n">
        <f aca="false">H18*$E$14/12</f>
        <v>107.8125</v>
      </c>
      <c r="J16" s="37" t="n">
        <f aca="false">I18*$E$14/12</f>
        <v>105.46875</v>
      </c>
      <c r="K16" s="37" t="n">
        <f aca="false">J18*$E$14/12</f>
        <v>103.125</v>
      </c>
      <c r="L16" s="37" t="n">
        <f aca="false">K18*$E$14/12</f>
        <v>100.78125</v>
      </c>
      <c r="M16" s="37" t="n">
        <f aca="false">L18*$E$14/12</f>
        <v>98.4375</v>
      </c>
      <c r="N16" s="37" t="n">
        <f aca="false">M18*$E$14/12</f>
        <v>96.09375</v>
      </c>
      <c r="O16" s="37" t="n">
        <f aca="false">N18*$E$14/12</f>
        <v>93.75</v>
      </c>
      <c r="P16" s="37" t="n">
        <f aca="false">O18*$E$14/12</f>
        <v>91.40625</v>
      </c>
      <c r="Q16" s="37" t="n">
        <f aca="false">P18*$E$14/12</f>
        <v>89.0625</v>
      </c>
      <c r="R16" s="37" t="n">
        <f aca="false">SUM(F16:Q16)</f>
        <v>1108.59375</v>
      </c>
      <c r="S16" s="37" t="n">
        <f aca="false">(R18+S18)/2*$E$14</f>
        <v>871.875</v>
      </c>
      <c r="T16" s="37" t="n">
        <f aca="false">(S18+T18)/2*$E$14</f>
        <v>534.375</v>
      </c>
      <c r="U16" s="37" t="n">
        <f aca="false">(T18+U18)/2*$E$14</f>
        <v>196.875</v>
      </c>
      <c r="V16" s="37" t="n">
        <f aca="false">(U18+V18)/2*$E$14</f>
        <v>14.0625</v>
      </c>
    </row>
    <row r="17" customFormat="false" ht="15" hidden="false" customHeight="false" outlineLevel="0" collapsed="false">
      <c r="A17" s="11" t="s">
        <v>134</v>
      </c>
      <c r="F17" s="37" t="n">
        <f aca="false">IF($D$14=0,0,IF(AND(1&gt;$C$14,1&lt;=$C$14+$D$14),$B$14/$D$14,0))</f>
        <v>0</v>
      </c>
      <c r="G17" s="37" t="n">
        <f aca="false">IF($D$14=0,0,IF(AND(2&gt;$C$14,2&lt;=$C$14+$D$14),$B$14/$D$14,0))</f>
        <v>312.5</v>
      </c>
      <c r="H17" s="37" t="n">
        <f aca="false">IF($D$14=0,0,IF(AND(3&gt;$C$14,3&lt;=$C$14+$D$14),$B$14/$D$14,0))</f>
        <v>312.5</v>
      </c>
      <c r="I17" s="37" t="n">
        <f aca="false">IF($D$14=0,0,IF(AND(4&gt;$C$14,4&lt;=$C$14+$D$14),$B$14/$D$14,0))</f>
        <v>312.5</v>
      </c>
      <c r="J17" s="37" t="n">
        <f aca="false">IF($D$14=0,0,IF(AND(5&gt;$C$14,5&lt;=$C$14+$D$14),$B$14/$D$14,0))</f>
        <v>312.5</v>
      </c>
      <c r="K17" s="37" t="n">
        <f aca="false">IF($D$14=0,0,IF(AND(6&gt;$C$14,6&lt;=$C$14+$D$14),$B$14/$D$14,0))</f>
        <v>312.5</v>
      </c>
      <c r="L17" s="37" t="n">
        <f aca="false">IF($D$14=0,0,IF(AND(7&gt;$C$14,7&lt;=$C$14+$D$14),$B$14/$D$14,0))</f>
        <v>312.5</v>
      </c>
      <c r="M17" s="37" t="n">
        <f aca="false">IF($D$14=0,0,IF(AND(8&gt;$C$14,8&lt;=$C$14+$D$14),$B$14/$D$14,0))</f>
        <v>312.5</v>
      </c>
      <c r="N17" s="37" t="n">
        <f aca="false">IF($D$14=0,0,IF(AND(9&gt;$C$14,9&lt;=$C$14+$D$14),$B$14/$D$14,0))</f>
        <v>312.5</v>
      </c>
      <c r="O17" s="37" t="n">
        <f aca="false">IF($D$14=0,0,IF(AND(10&gt;$C$14,10&lt;=$C$14+$D$14),$B$14/$D$14,0))</f>
        <v>312.5</v>
      </c>
      <c r="P17" s="37" t="n">
        <f aca="false">IF($D$14=0,0,IF(AND(11&gt;$C$14,11&lt;=$C$14+$D$14),$B$14/$D$14,0))</f>
        <v>312.5</v>
      </c>
      <c r="Q17" s="37" t="n">
        <f aca="false">IF($D$14=0,0,IF(AND(12&gt;$C$14,12&lt;=$C$14+$D$14),$B$14/$D$14,0))</f>
        <v>312.5</v>
      </c>
      <c r="R17" s="37" t="n">
        <f aca="false">SUM(F17:Q17)</f>
        <v>3437.5</v>
      </c>
      <c r="S17" s="37" t="n">
        <f aca="false">MIN(R18,IF($D$14=0,0,$B$14/$D$14*12))</f>
        <v>3750</v>
      </c>
      <c r="T17" s="37" t="n">
        <f aca="false">MIN(S18,IF($D$14=0,0,$B$14/$D$14*12))</f>
        <v>3750</v>
      </c>
      <c r="U17" s="37" t="n">
        <f aca="false">MIN(T18,IF($D$14=0,0,$B$14/$D$14*12))</f>
        <v>3750</v>
      </c>
      <c r="V17" s="37" t="n">
        <f aca="false">MIN(U18,IF($D$14=0,0,$B$14/$D$14*12))</f>
        <v>312.5</v>
      </c>
    </row>
    <row r="18" customFormat="false" ht="15" hidden="false" customHeight="false" outlineLevel="0" collapsed="false">
      <c r="A18" s="11" t="s">
        <v>135</v>
      </c>
      <c r="F18" s="37" t="n">
        <f aca="false">F15-F17</f>
        <v>15000</v>
      </c>
      <c r="G18" s="37" t="n">
        <f aca="false">F18+G15-G17</f>
        <v>14687.5</v>
      </c>
      <c r="H18" s="37" t="n">
        <f aca="false">G18+H15-H17</f>
        <v>14375</v>
      </c>
      <c r="I18" s="37" t="n">
        <f aca="false">H18+I15-I17</f>
        <v>14062.5</v>
      </c>
      <c r="J18" s="37" t="n">
        <f aca="false">I18+J15-J17</f>
        <v>13750</v>
      </c>
      <c r="K18" s="37" t="n">
        <f aca="false">J18+K15-K17</f>
        <v>13437.5</v>
      </c>
      <c r="L18" s="37" t="n">
        <f aca="false">K18+L15-L17</f>
        <v>13125</v>
      </c>
      <c r="M18" s="37" t="n">
        <f aca="false">L18+M15-M17</f>
        <v>12812.5</v>
      </c>
      <c r="N18" s="37" t="n">
        <f aca="false">M18+N15-N17</f>
        <v>12500</v>
      </c>
      <c r="O18" s="37" t="n">
        <f aca="false">N18+O15-O17</f>
        <v>12187.5</v>
      </c>
      <c r="P18" s="37" t="n">
        <f aca="false">O18+P15-P17</f>
        <v>11875</v>
      </c>
      <c r="Q18" s="37" t="n">
        <f aca="false">P18+Q15-Q17</f>
        <v>11562.5</v>
      </c>
      <c r="R18" s="37" t="n">
        <f aca="false">Q18</f>
        <v>11562.5</v>
      </c>
      <c r="S18" s="37" t="n">
        <f aca="false">R18-S17</f>
        <v>7812.5</v>
      </c>
      <c r="T18" s="37" t="n">
        <f aca="false">S18-T17</f>
        <v>4062.5</v>
      </c>
      <c r="U18" s="37" t="n">
        <f aca="false">T18-U17</f>
        <v>312.5</v>
      </c>
      <c r="V18" s="37" t="n">
        <f aca="false">U18-V17</f>
        <v>0</v>
      </c>
    </row>
    <row r="20" customFormat="false" ht="15" hidden="false" customHeight="false" outlineLevel="0" collapsed="false">
      <c r="A20" s="30"/>
      <c r="B20" s="33" t="n">
        <v>0</v>
      </c>
      <c r="C20" s="35" t="n">
        <v>1</v>
      </c>
      <c r="D20" s="35" t="n">
        <v>36</v>
      </c>
      <c r="E20" s="36" t="n">
        <v>0.09</v>
      </c>
    </row>
    <row r="21" customFormat="false" ht="15" hidden="false" customHeight="false" outlineLevel="0" collapsed="false">
      <c r="A21" s="11" t="s">
        <v>132</v>
      </c>
      <c r="F21" s="37" t="n">
        <f aca="false">IF(1=$C$20,$B$20,0)</f>
        <v>0</v>
      </c>
      <c r="G21" s="37" t="n">
        <f aca="false">IF(2=$C$20,$B$20,0)</f>
        <v>0</v>
      </c>
      <c r="H21" s="37" t="n">
        <f aca="false">IF(3=$C$20,$B$20,0)</f>
        <v>0</v>
      </c>
      <c r="I21" s="37" t="n">
        <f aca="false">IF(4=$C$20,$B$20,0)</f>
        <v>0</v>
      </c>
      <c r="J21" s="37" t="n">
        <f aca="false">IF(5=$C$20,$B$20,0)</f>
        <v>0</v>
      </c>
      <c r="K21" s="37" t="n">
        <f aca="false">IF(6=$C$20,$B$20,0)</f>
        <v>0</v>
      </c>
      <c r="L21" s="37" t="n">
        <f aca="false">IF(7=$C$20,$B$20,0)</f>
        <v>0</v>
      </c>
      <c r="M21" s="37" t="n">
        <f aca="false">IF(8=$C$20,$B$20,0)</f>
        <v>0</v>
      </c>
      <c r="N21" s="37" t="n">
        <f aca="false">IF(9=$C$20,$B$20,0)</f>
        <v>0</v>
      </c>
      <c r="O21" s="37" t="n">
        <f aca="false">IF(10=$C$20,$B$20,0)</f>
        <v>0</v>
      </c>
      <c r="P21" s="37" t="n">
        <f aca="false">IF(11=$C$20,$B$20,0)</f>
        <v>0</v>
      </c>
      <c r="Q21" s="37" t="n">
        <f aca="false">IF(12=$C$20,$B$20,0)</f>
        <v>0</v>
      </c>
      <c r="R21" s="37" t="n">
        <f aca="false">SUM(F21:Q21)</f>
        <v>0</v>
      </c>
      <c r="S21" s="37" t="n">
        <v>0</v>
      </c>
      <c r="T21" s="37" t="n">
        <v>0</v>
      </c>
      <c r="U21" s="37" t="n">
        <v>0</v>
      </c>
      <c r="V21" s="37" t="n">
        <v>0</v>
      </c>
    </row>
    <row r="22" customFormat="false" ht="15" hidden="false" customHeight="false" outlineLevel="0" collapsed="false">
      <c r="A22" s="11" t="s">
        <v>133</v>
      </c>
      <c r="F22" s="37" t="n">
        <f aca="false">0</f>
        <v>0</v>
      </c>
      <c r="G22" s="37" t="n">
        <f aca="false">F24*$E$20/12</f>
        <v>0</v>
      </c>
      <c r="H22" s="37" t="n">
        <f aca="false">G24*$E$20/12</f>
        <v>0</v>
      </c>
      <c r="I22" s="37" t="n">
        <f aca="false">H24*$E$20/12</f>
        <v>0</v>
      </c>
      <c r="J22" s="37" t="n">
        <f aca="false">I24*$E$20/12</f>
        <v>0</v>
      </c>
      <c r="K22" s="37" t="n">
        <f aca="false">J24*$E$20/12</f>
        <v>0</v>
      </c>
      <c r="L22" s="37" t="n">
        <f aca="false">K24*$E$20/12</f>
        <v>0</v>
      </c>
      <c r="M22" s="37" t="n">
        <f aca="false">L24*$E$20/12</f>
        <v>0</v>
      </c>
      <c r="N22" s="37" t="n">
        <f aca="false">M24*$E$20/12</f>
        <v>0</v>
      </c>
      <c r="O22" s="37" t="n">
        <f aca="false">N24*$E$20/12</f>
        <v>0</v>
      </c>
      <c r="P22" s="37" t="n">
        <f aca="false">O24*$E$20/12</f>
        <v>0</v>
      </c>
      <c r="Q22" s="37" t="n">
        <f aca="false">P24*$E$20/12</f>
        <v>0</v>
      </c>
      <c r="R22" s="37" t="n">
        <f aca="false">SUM(F22:Q22)</f>
        <v>0</v>
      </c>
      <c r="S22" s="37" t="n">
        <f aca="false">(R24+S24)/2*$E$20</f>
        <v>0</v>
      </c>
      <c r="T22" s="37" t="n">
        <f aca="false">(S24+T24)/2*$E$20</f>
        <v>0</v>
      </c>
      <c r="U22" s="37" t="n">
        <f aca="false">(T24+U24)/2*$E$20</f>
        <v>0</v>
      </c>
      <c r="V22" s="37" t="n">
        <f aca="false">(U24+V24)/2*$E$20</f>
        <v>0</v>
      </c>
    </row>
    <row r="23" customFormat="false" ht="15" hidden="false" customHeight="false" outlineLevel="0" collapsed="false">
      <c r="A23" s="11" t="s">
        <v>134</v>
      </c>
      <c r="F23" s="37" t="n">
        <f aca="false">IF($D$20=0,0,IF(AND(1&gt;$C$20,1&lt;=$C$20+$D$20),$B$20/$D$20,0))</f>
        <v>0</v>
      </c>
      <c r="G23" s="37" t="n">
        <f aca="false">IF($D$20=0,0,IF(AND(2&gt;$C$20,2&lt;=$C$20+$D$20),$B$20/$D$20,0))</f>
        <v>0</v>
      </c>
      <c r="H23" s="37" t="n">
        <f aca="false">IF($D$20=0,0,IF(AND(3&gt;$C$20,3&lt;=$C$20+$D$20),$B$20/$D$20,0))</f>
        <v>0</v>
      </c>
      <c r="I23" s="37" t="n">
        <f aca="false">IF($D$20=0,0,IF(AND(4&gt;$C$20,4&lt;=$C$20+$D$20),$B$20/$D$20,0))</f>
        <v>0</v>
      </c>
      <c r="J23" s="37" t="n">
        <f aca="false">IF($D$20=0,0,IF(AND(5&gt;$C$20,5&lt;=$C$20+$D$20),$B$20/$D$20,0))</f>
        <v>0</v>
      </c>
      <c r="K23" s="37" t="n">
        <f aca="false">IF($D$20=0,0,IF(AND(6&gt;$C$20,6&lt;=$C$20+$D$20),$B$20/$D$20,0))</f>
        <v>0</v>
      </c>
      <c r="L23" s="37" t="n">
        <f aca="false">IF($D$20=0,0,IF(AND(7&gt;$C$20,7&lt;=$C$20+$D$20),$B$20/$D$20,0))</f>
        <v>0</v>
      </c>
      <c r="M23" s="37" t="n">
        <f aca="false">IF($D$20=0,0,IF(AND(8&gt;$C$20,8&lt;=$C$20+$D$20),$B$20/$D$20,0))</f>
        <v>0</v>
      </c>
      <c r="N23" s="37" t="n">
        <f aca="false">IF($D$20=0,0,IF(AND(9&gt;$C$20,9&lt;=$C$20+$D$20),$B$20/$D$20,0))</f>
        <v>0</v>
      </c>
      <c r="O23" s="37" t="n">
        <f aca="false">IF($D$20=0,0,IF(AND(10&gt;$C$20,10&lt;=$C$20+$D$20),$B$20/$D$20,0))</f>
        <v>0</v>
      </c>
      <c r="P23" s="37" t="n">
        <f aca="false">IF($D$20=0,0,IF(AND(11&gt;$C$20,11&lt;=$C$20+$D$20),$B$20/$D$20,0))</f>
        <v>0</v>
      </c>
      <c r="Q23" s="37" t="n">
        <f aca="false">IF($D$20=0,0,IF(AND(12&gt;$C$20,12&lt;=$C$20+$D$20),$B$20/$D$20,0))</f>
        <v>0</v>
      </c>
      <c r="R23" s="37" t="n">
        <f aca="false">SUM(F23:Q23)</f>
        <v>0</v>
      </c>
      <c r="S23" s="37" t="n">
        <f aca="false">MIN(R24,IF($D$20=0,0,$B$20/$D$20*12))</f>
        <v>0</v>
      </c>
      <c r="T23" s="37" t="n">
        <f aca="false">MIN(S24,IF($D$20=0,0,$B$20/$D$20*12))</f>
        <v>0</v>
      </c>
      <c r="U23" s="37" t="n">
        <f aca="false">MIN(T24,IF($D$20=0,0,$B$20/$D$20*12))</f>
        <v>0</v>
      </c>
      <c r="V23" s="37" t="n">
        <f aca="false">MIN(U24,IF($D$20=0,0,$B$20/$D$20*12))</f>
        <v>0</v>
      </c>
    </row>
    <row r="24" customFormat="false" ht="15" hidden="false" customHeight="false" outlineLevel="0" collapsed="false">
      <c r="A24" s="11" t="s">
        <v>135</v>
      </c>
      <c r="F24" s="37" t="n">
        <f aca="false">F21-F23</f>
        <v>0</v>
      </c>
      <c r="G24" s="37" t="n">
        <f aca="false">F24+G21-G23</f>
        <v>0</v>
      </c>
      <c r="H24" s="37" t="n">
        <f aca="false">G24+H21-H23</f>
        <v>0</v>
      </c>
      <c r="I24" s="37" t="n">
        <f aca="false">H24+I21-I23</f>
        <v>0</v>
      </c>
      <c r="J24" s="37" t="n">
        <f aca="false">I24+J21-J23</f>
        <v>0</v>
      </c>
      <c r="K24" s="37" t="n">
        <f aca="false">J24+K21-K23</f>
        <v>0</v>
      </c>
      <c r="L24" s="37" t="n">
        <f aca="false">K24+L21-L23</f>
        <v>0</v>
      </c>
      <c r="M24" s="37" t="n">
        <f aca="false">L24+M21-M23</f>
        <v>0</v>
      </c>
      <c r="N24" s="37" t="n">
        <f aca="false">M24+N21-N23</f>
        <v>0</v>
      </c>
      <c r="O24" s="37" t="n">
        <f aca="false">N24+O21-O23</f>
        <v>0</v>
      </c>
      <c r="P24" s="37" t="n">
        <f aca="false">O24+P21-P23</f>
        <v>0</v>
      </c>
      <c r="Q24" s="37" t="n">
        <f aca="false">P24+Q21-Q23</f>
        <v>0</v>
      </c>
      <c r="R24" s="37" t="n">
        <f aca="false">Q24</f>
        <v>0</v>
      </c>
      <c r="S24" s="37" t="n">
        <f aca="false">R24-S23</f>
        <v>0</v>
      </c>
      <c r="T24" s="37" t="n">
        <f aca="false">S24-T23</f>
        <v>0</v>
      </c>
      <c r="U24" s="37" t="n">
        <f aca="false">T24-U23</f>
        <v>0</v>
      </c>
      <c r="V24" s="37" t="n">
        <f aca="false">U24-V23</f>
        <v>0</v>
      </c>
    </row>
    <row r="26" customFormat="false" ht="15" hidden="false" customHeight="false" outlineLevel="0" collapsed="false">
      <c r="A26" s="32" t="s">
        <v>136</v>
      </c>
      <c r="F26" s="15" t="n">
        <f aca="false">F15+F21</f>
        <v>15000</v>
      </c>
      <c r="G26" s="15" t="n">
        <f aca="false">G15+G21</f>
        <v>0</v>
      </c>
      <c r="H26" s="15" t="n">
        <f aca="false">H15+H21</f>
        <v>0</v>
      </c>
      <c r="I26" s="15" t="n">
        <f aca="false">I15+I21</f>
        <v>0</v>
      </c>
      <c r="J26" s="15" t="n">
        <f aca="false">J15+J21</f>
        <v>0</v>
      </c>
      <c r="K26" s="15" t="n">
        <f aca="false">K15+K21</f>
        <v>0</v>
      </c>
      <c r="L26" s="15" t="n">
        <f aca="false">L15+L21</f>
        <v>0</v>
      </c>
      <c r="M26" s="15" t="n">
        <f aca="false">M15+M21</f>
        <v>0</v>
      </c>
      <c r="N26" s="15" t="n">
        <f aca="false">N15+N21</f>
        <v>0</v>
      </c>
      <c r="O26" s="15" t="n">
        <f aca="false">O15+O21</f>
        <v>0</v>
      </c>
      <c r="P26" s="15" t="n">
        <f aca="false">P15+P21</f>
        <v>0</v>
      </c>
      <c r="Q26" s="15" t="n">
        <f aca="false">Q15+Q21</f>
        <v>0</v>
      </c>
      <c r="R26" s="15" t="n">
        <f aca="false">R15+R21</f>
        <v>15000</v>
      </c>
      <c r="S26" s="15" t="n">
        <f aca="false">S15+S21</f>
        <v>0</v>
      </c>
      <c r="T26" s="15" t="n">
        <f aca="false">T15+T21</f>
        <v>0</v>
      </c>
      <c r="U26" s="15" t="n">
        <f aca="false">U15+U21</f>
        <v>0</v>
      </c>
      <c r="V26" s="15" t="n">
        <f aca="false">V15+V21</f>
        <v>0</v>
      </c>
    </row>
    <row r="27" customFormat="false" ht="15" hidden="false" customHeight="false" outlineLevel="0" collapsed="false">
      <c r="A27" s="5" t="s">
        <v>137</v>
      </c>
      <c r="F27" s="15" t="n">
        <f aca="false">F16+F22</f>
        <v>0</v>
      </c>
      <c r="G27" s="15" t="n">
        <f aca="false">G16+G22</f>
        <v>112.5</v>
      </c>
      <c r="H27" s="15" t="n">
        <f aca="false">H16+H22</f>
        <v>110.15625</v>
      </c>
      <c r="I27" s="15" t="n">
        <f aca="false">I16+I22</f>
        <v>107.8125</v>
      </c>
      <c r="J27" s="15" t="n">
        <f aca="false">J16+J22</f>
        <v>105.46875</v>
      </c>
      <c r="K27" s="15" t="n">
        <f aca="false">K16+K22</f>
        <v>103.125</v>
      </c>
      <c r="L27" s="15" t="n">
        <f aca="false">L16+L22</f>
        <v>100.78125</v>
      </c>
      <c r="M27" s="15" t="n">
        <f aca="false">M16+M22</f>
        <v>98.4375</v>
      </c>
      <c r="N27" s="15" t="n">
        <f aca="false">N16+N22</f>
        <v>96.09375</v>
      </c>
      <c r="O27" s="15" t="n">
        <f aca="false">O16+O22</f>
        <v>93.75</v>
      </c>
      <c r="P27" s="15" t="n">
        <f aca="false">P16+P22</f>
        <v>91.40625</v>
      </c>
      <c r="Q27" s="15" t="n">
        <f aca="false">Q16+Q22</f>
        <v>89.0625</v>
      </c>
      <c r="R27" s="15" t="n">
        <f aca="false">R16+R22</f>
        <v>1108.59375</v>
      </c>
      <c r="S27" s="15" t="n">
        <f aca="false">S16+S22</f>
        <v>871.875</v>
      </c>
      <c r="T27" s="15" t="n">
        <f aca="false">T16+T22</f>
        <v>534.375</v>
      </c>
      <c r="U27" s="15" t="n">
        <f aca="false">U16+U22</f>
        <v>196.875</v>
      </c>
      <c r="V27" s="15" t="n">
        <f aca="false">V16+V22</f>
        <v>14.0625</v>
      </c>
    </row>
    <row r="28" customFormat="false" ht="15" hidden="false" customHeight="false" outlineLevel="0" collapsed="false">
      <c r="A28" s="5" t="s">
        <v>138</v>
      </c>
      <c r="F28" s="15" t="n">
        <f aca="false">F17+F23</f>
        <v>0</v>
      </c>
      <c r="G28" s="15" t="n">
        <f aca="false">G17+G23</f>
        <v>312.5</v>
      </c>
      <c r="H28" s="15" t="n">
        <f aca="false">H17+H23</f>
        <v>312.5</v>
      </c>
      <c r="I28" s="15" t="n">
        <f aca="false">I17+I23</f>
        <v>312.5</v>
      </c>
      <c r="J28" s="15" t="n">
        <f aca="false">J17+J23</f>
        <v>312.5</v>
      </c>
      <c r="K28" s="15" t="n">
        <f aca="false">K17+K23</f>
        <v>312.5</v>
      </c>
      <c r="L28" s="15" t="n">
        <f aca="false">L17+L23</f>
        <v>312.5</v>
      </c>
      <c r="M28" s="15" t="n">
        <f aca="false">M17+M23</f>
        <v>312.5</v>
      </c>
      <c r="N28" s="15" t="n">
        <f aca="false">N17+N23</f>
        <v>312.5</v>
      </c>
      <c r="O28" s="15" t="n">
        <f aca="false">O17+O23</f>
        <v>312.5</v>
      </c>
      <c r="P28" s="15" t="n">
        <f aca="false">P17+P23</f>
        <v>312.5</v>
      </c>
      <c r="Q28" s="15" t="n">
        <f aca="false">Q17+Q23</f>
        <v>312.5</v>
      </c>
      <c r="R28" s="15" t="n">
        <f aca="false">R17+R23</f>
        <v>3437.5</v>
      </c>
      <c r="S28" s="15" t="n">
        <f aca="false">S17+S23</f>
        <v>3750</v>
      </c>
      <c r="T28" s="15" t="n">
        <f aca="false">T17+T23</f>
        <v>3750</v>
      </c>
      <c r="U28" s="15" t="n">
        <f aca="false">U17+U23</f>
        <v>3750</v>
      </c>
      <c r="V28" s="15" t="n">
        <f aca="false">V17+V23</f>
        <v>312.5</v>
      </c>
    </row>
    <row r="29" customFormat="false" ht="15" hidden="false" customHeight="false" outlineLevel="0" collapsed="false">
      <c r="A29" s="5" t="s">
        <v>139</v>
      </c>
      <c r="F29" s="15" t="n">
        <f aca="false">F18+F24</f>
        <v>15000</v>
      </c>
      <c r="G29" s="15" t="n">
        <f aca="false">G18+G24</f>
        <v>14687.5</v>
      </c>
      <c r="H29" s="15" t="n">
        <f aca="false">H18+H24</f>
        <v>14375</v>
      </c>
      <c r="I29" s="15" t="n">
        <f aca="false">I18+I24</f>
        <v>14062.5</v>
      </c>
      <c r="J29" s="15" t="n">
        <f aca="false">J18+J24</f>
        <v>13750</v>
      </c>
      <c r="K29" s="15" t="n">
        <f aca="false">K18+K24</f>
        <v>13437.5</v>
      </c>
      <c r="L29" s="15" t="n">
        <f aca="false">L18+L24</f>
        <v>13125</v>
      </c>
      <c r="M29" s="15" t="n">
        <f aca="false">M18+M24</f>
        <v>12812.5</v>
      </c>
      <c r="N29" s="15" t="n">
        <f aca="false">N18+N24</f>
        <v>12500</v>
      </c>
      <c r="O29" s="15" t="n">
        <f aca="false">O18+O24</f>
        <v>12187.5</v>
      </c>
      <c r="P29" s="15" t="n">
        <f aca="false">P18+P24</f>
        <v>11875</v>
      </c>
      <c r="Q29" s="15" t="n">
        <f aca="false">Q18+Q24</f>
        <v>11562.5</v>
      </c>
      <c r="R29" s="15" t="n">
        <f aca="false">R18+R24</f>
        <v>11562.5</v>
      </c>
      <c r="S29" s="15" t="n">
        <f aca="false">S18+S24</f>
        <v>7812.5</v>
      </c>
      <c r="T29" s="15" t="n">
        <f aca="false">T18+T24</f>
        <v>4062.5</v>
      </c>
      <c r="U29" s="15" t="n">
        <f aca="false">U18+U24</f>
        <v>312.5</v>
      </c>
      <c r="V29" s="15" t="n">
        <f aca="false">V18+V24</f>
        <v>0</v>
      </c>
    </row>
    <row r="31" customFormat="false" ht="15" hidden="false" customHeight="false" outlineLevel="0" collapsed="false">
      <c r="A31" s="3" t="s">
        <v>140</v>
      </c>
      <c r="B31" s="28" t="s">
        <v>127</v>
      </c>
      <c r="C31" s="28" t="s">
        <v>141</v>
      </c>
      <c r="F31" s="29" t="n">
        <f aca="false">EDATE(StartMonth,0)</f>
        <v>46388</v>
      </c>
      <c r="G31" s="29" t="n">
        <f aca="false">EDATE(StartMonth,1)</f>
        <v>46419</v>
      </c>
      <c r="H31" s="29" t="n">
        <f aca="false">EDATE(StartMonth,2)</f>
        <v>46447</v>
      </c>
      <c r="I31" s="29" t="n">
        <f aca="false">EDATE(StartMonth,3)</f>
        <v>46478</v>
      </c>
      <c r="J31" s="29" t="n">
        <f aca="false">EDATE(StartMonth,4)</f>
        <v>46508</v>
      </c>
      <c r="K31" s="29" t="n">
        <f aca="false">EDATE(StartMonth,5)</f>
        <v>46539</v>
      </c>
      <c r="L31" s="29" t="n">
        <f aca="false">EDATE(StartMonth,6)</f>
        <v>46569</v>
      </c>
      <c r="M31" s="29" t="n">
        <f aca="false">EDATE(StartMonth,7)</f>
        <v>46600</v>
      </c>
      <c r="N31" s="29" t="n">
        <f aca="false">EDATE(StartMonth,8)</f>
        <v>46631</v>
      </c>
      <c r="O31" s="29" t="n">
        <f aca="false">EDATE(StartMonth,9)</f>
        <v>46661</v>
      </c>
      <c r="P31" s="29" t="n">
        <f aca="false">EDATE(StartMonth,10)</f>
        <v>46692</v>
      </c>
      <c r="Q31" s="29" t="n">
        <f aca="false">EDATE(StartMonth,11)</f>
        <v>46722</v>
      </c>
      <c r="R31" s="18" t="s">
        <v>42</v>
      </c>
      <c r="S31" s="18" t="s">
        <v>43</v>
      </c>
      <c r="T31" s="18" t="s">
        <v>44</v>
      </c>
      <c r="U31" s="18" t="s">
        <v>45</v>
      </c>
      <c r="V31" s="18" t="s">
        <v>46</v>
      </c>
    </row>
    <row r="32" customFormat="false" ht="15" hidden="false" customHeight="false" outlineLevel="0" collapsed="false">
      <c r="A32" s="30" t="s">
        <v>142</v>
      </c>
      <c r="B32" s="33" t="n">
        <v>10000</v>
      </c>
      <c r="C32" s="35" t="n">
        <v>1</v>
      </c>
      <c r="F32" s="19" t="n">
        <f aca="false">IF(1=$C$32,$B$32,0)</f>
        <v>10000</v>
      </c>
      <c r="G32" s="19" t="n">
        <f aca="false">IF(2=$C$32,$B$32,0)</f>
        <v>0</v>
      </c>
      <c r="H32" s="19" t="n">
        <f aca="false">IF(3=$C$32,$B$32,0)</f>
        <v>0</v>
      </c>
      <c r="I32" s="19" t="n">
        <f aca="false">IF(4=$C$32,$B$32,0)</f>
        <v>0</v>
      </c>
      <c r="J32" s="19" t="n">
        <f aca="false">IF(5=$C$32,$B$32,0)</f>
        <v>0</v>
      </c>
      <c r="K32" s="19" t="n">
        <f aca="false">IF(6=$C$32,$B$32,0)</f>
        <v>0</v>
      </c>
      <c r="L32" s="19" t="n">
        <f aca="false">IF(7=$C$32,$B$32,0)</f>
        <v>0</v>
      </c>
      <c r="M32" s="19" t="n">
        <f aca="false">IF(8=$C$32,$B$32,0)</f>
        <v>0</v>
      </c>
      <c r="N32" s="19" t="n">
        <f aca="false">IF(9=$C$32,$B$32,0)</f>
        <v>0</v>
      </c>
      <c r="O32" s="19" t="n">
        <f aca="false">IF(10=$C$32,$B$32,0)</f>
        <v>0</v>
      </c>
      <c r="P32" s="19" t="n">
        <f aca="false">IF(11=$C$32,$B$32,0)</f>
        <v>0</v>
      </c>
      <c r="Q32" s="19" t="n">
        <f aca="false">IF(12=$C$32,$B$32,0)</f>
        <v>0</v>
      </c>
      <c r="R32" s="19" t="n">
        <f aca="false">SUM(F32:Q32)</f>
        <v>10000</v>
      </c>
    </row>
    <row r="33" customFormat="false" ht="15" hidden="false" customHeight="false" outlineLevel="0" collapsed="false">
      <c r="A33" s="30"/>
      <c r="B33" s="33" t="n">
        <v>0</v>
      </c>
      <c r="C33" s="35" t="n">
        <v>1</v>
      </c>
      <c r="F33" s="19" t="n">
        <f aca="false">IF(1=$C$33,$B$33,0)</f>
        <v>0</v>
      </c>
      <c r="G33" s="19" t="n">
        <f aca="false">IF(2=$C$33,$B$33,0)</f>
        <v>0</v>
      </c>
      <c r="H33" s="19" t="n">
        <f aca="false">IF(3=$C$33,$B$33,0)</f>
        <v>0</v>
      </c>
      <c r="I33" s="19" t="n">
        <f aca="false">IF(4=$C$33,$B$33,0)</f>
        <v>0</v>
      </c>
      <c r="J33" s="19" t="n">
        <f aca="false">IF(5=$C$33,$B$33,0)</f>
        <v>0</v>
      </c>
      <c r="K33" s="19" t="n">
        <f aca="false">IF(6=$C$33,$B$33,0)</f>
        <v>0</v>
      </c>
      <c r="L33" s="19" t="n">
        <f aca="false">IF(7=$C$33,$B$33,0)</f>
        <v>0</v>
      </c>
      <c r="M33" s="19" t="n">
        <f aca="false">IF(8=$C$33,$B$33,0)</f>
        <v>0</v>
      </c>
      <c r="N33" s="19" t="n">
        <f aca="false">IF(9=$C$33,$B$33,0)</f>
        <v>0</v>
      </c>
      <c r="O33" s="19" t="n">
        <f aca="false">IF(10=$C$33,$B$33,0)</f>
        <v>0</v>
      </c>
      <c r="P33" s="19" t="n">
        <f aca="false">IF(11=$C$33,$B$33,0)</f>
        <v>0</v>
      </c>
      <c r="Q33" s="19" t="n">
        <f aca="false">IF(12=$C$33,$B$33,0)</f>
        <v>0</v>
      </c>
      <c r="R33" s="19" t="n">
        <f aca="false">SUM(F33:Q33)</f>
        <v>0</v>
      </c>
    </row>
    <row r="34" customFormat="false" ht="15" hidden="false" customHeight="false" outlineLevel="0" collapsed="false">
      <c r="A34" s="30"/>
      <c r="B34" s="33" t="n">
        <v>0</v>
      </c>
      <c r="C34" s="35" t="n">
        <v>1</v>
      </c>
      <c r="F34" s="19" t="n">
        <f aca="false">IF(1=$C$34,$B$34,0)</f>
        <v>0</v>
      </c>
      <c r="G34" s="19" t="n">
        <f aca="false">IF(2=$C$34,$B$34,0)</f>
        <v>0</v>
      </c>
      <c r="H34" s="19" t="n">
        <f aca="false">IF(3=$C$34,$B$34,0)</f>
        <v>0</v>
      </c>
      <c r="I34" s="19" t="n">
        <f aca="false">IF(4=$C$34,$B$34,0)</f>
        <v>0</v>
      </c>
      <c r="J34" s="19" t="n">
        <f aca="false">IF(5=$C$34,$B$34,0)</f>
        <v>0</v>
      </c>
      <c r="K34" s="19" t="n">
        <f aca="false">IF(6=$C$34,$B$34,0)</f>
        <v>0</v>
      </c>
      <c r="L34" s="19" t="n">
        <f aca="false">IF(7=$C$34,$B$34,0)</f>
        <v>0</v>
      </c>
      <c r="M34" s="19" t="n">
        <f aca="false">IF(8=$C$34,$B$34,0)</f>
        <v>0</v>
      </c>
      <c r="N34" s="19" t="n">
        <f aca="false">IF(9=$C$34,$B$34,0)</f>
        <v>0</v>
      </c>
      <c r="O34" s="19" t="n">
        <f aca="false">IF(10=$C$34,$B$34,0)</f>
        <v>0</v>
      </c>
      <c r="P34" s="19" t="n">
        <f aca="false">IF(11=$C$34,$B$34,0)</f>
        <v>0</v>
      </c>
      <c r="Q34" s="19" t="n">
        <f aca="false">IF(12=$C$34,$B$34,0)</f>
        <v>0</v>
      </c>
      <c r="R34" s="19" t="n">
        <f aca="false">SUM(F34:Q34)</f>
        <v>0</v>
      </c>
    </row>
    <row r="35" customFormat="false" ht="15" hidden="false" customHeight="false" outlineLevel="0" collapsed="false">
      <c r="A35" s="32" t="s">
        <v>143</v>
      </c>
      <c r="F35" s="15" t="n">
        <f aca="false">SUM(F32:F34)</f>
        <v>10000</v>
      </c>
      <c r="G35" s="15" t="n">
        <f aca="false">SUM(G32:G34)</f>
        <v>0</v>
      </c>
      <c r="H35" s="15" t="n">
        <f aca="false">SUM(H32:H34)</f>
        <v>0</v>
      </c>
      <c r="I35" s="15" t="n">
        <f aca="false">SUM(I32:I34)</f>
        <v>0</v>
      </c>
      <c r="J35" s="15" t="n">
        <f aca="false">SUM(J32:J34)</f>
        <v>0</v>
      </c>
      <c r="K35" s="15" t="n">
        <f aca="false">SUM(K32:K34)</f>
        <v>0</v>
      </c>
      <c r="L35" s="15" t="n">
        <f aca="false">SUM(L32:L34)</f>
        <v>0</v>
      </c>
      <c r="M35" s="15" t="n">
        <f aca="false">SUM(M32:M34)</f>
        <v>0</v>
      </c>
      <c r="N35" s="15" t="n">
        <f aca="false">SUM(N32:N34)</f>
        <v>0</v>
      </c>
      <c r="O35" s="15" t="n">
        <f aca="false">SUM(O32:O34)</f>
        <v>0</v>
      </c>
      <c r="P35" s="15" t="n">
        <f aca="false">SUM(P32:P34)</f>
        <v>0</v>
      </c>
      <c r="Q35" s="15" t="n">
        <f aca="false">SUM(Q32:Q34)</f>
        <v>0</v>
      </c>
      <c r="R35" s="15" t="n">
        <f aca="false">SUM(R32:R34)</f>
        <v>10000</v>
      </c>
      <c r="S35" s="15" t="n">
        <v>0</v>
      </c>
      <c r="T35" s="15" t="n">
        <v>0</v>
      </c>
      <c r="U35" s="15" t="n">
        <v>0</v>
      </c>
      <c r="V35" s="15" t="n">
        <v>0</v>
      </c>
    </row>
    <row r="37" customFormat="false" ht="15" hidden="false" customHeight="false" outlineLevel="0" collapsed="false">
      <c r="A37" s="11" t="s">
        <v>144</v>
      </c>
    </row>
    <row r="38" customFormat="false" ht="15" hidden="false" customHeight="false" outlineLevel="0" collapsed="false">
      <c r="A38" s="11" t="s">
        <v>145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4"/>
    <col collapsed="false" customWidth="true" hidden="false" outlineLevel="0" max="4" min="2" style="0" width="14"/>
    <col collapsed="false" customWidth="true" hidden="false" outlineLevel="0" max="19" min="5" style="0" width="12"/>
  </cols>
  <sheetData>
    <row r="1" customFormat="false" ht="24" hidden="false" customHeight="true" outlineLevel="0" collapsed="false">
      <c r="A1" s="13" t="s">
        <v>15</v>
      </c>
    </row>
    <row r="2" customFormat="false" ht="15" hidden="false" customHeight="false" outlineLevel="0" collapsed="false">
      <c r="A2" s="14" t="s">
        <v>146</v>
      </c>
    </row>
    <row r="4" customFormat="false" ht="15" hidden="false" customHeight="false" outlineLevel="0" collapsed="false">
      <c r="C4" s="29" t="n">
        <f aca="false">EDATE(StartMonth,0)</f>
        <v>46388</v>
      </c>
      <c r="D4" s="29" t="n">
        <f aca="false">EDATE(StartMonth,1)</f>
        <v>46419</v>
      </c>
      <c r="E4" s="29" t="n">
        <f aca="false">EDATE(StartMonth,2)</f>
        <v>46447</v>
      </c>
      <c r="F4" s="29" t="n">
        <f aca="false">EDATE(StartMonth,3)</f>
        <v>46478</v>
      </c>
      <c r="G4" s="29" t="n">
        <f aca="false">EDATE(StartMonth,4)</f>
        <v>46508</v>
      </c>
      <c r="H4" s="29" t="n">
        <f aca="false">EDATE(StartMonth,5)</f>
        <v>46539</v>
      </c>
      <c r="I4" s="29" t="n">
        <f aca="false">EDATE(StartMonth,6)</f>
        <v>46569</v>
      </c>
      <c r="J4" s="29" t="n">
        <f aca="false">EDATE(StartMonth,7)</f>
        <v>46600</v>
      </c>
      <c r="K4" s="29" t="n">
        <f aca="false">EDATE(StartMonth,8)</f>
        <v>46631</v>
      </c>
      <c r="L4" s="29" t="n">
        <f aca="false">EDATE(StartMonth,9)</f>
        <v>46661</v>
      </c>
      <c r="M4" s="29" t="n">
        <f aca="false">EDATE(StartMonth,10)</f>
        <v>46692</v>
      </c>
      <c r="N4" s="29" t="n">
        <f aca="false">EDATE(StartMonth,11)</f>
        <v>46722</v>
      </c>
      <c r="O4" s="18" t="s">
        <v>42</v>
      </c>
      <c r="P4" s="18" t="s">
        <v>43</v>
      </c>
      <c r="Q4" s="18" t="s">
        <v>44</v>
      </c>
      <c r="R4" s="18" t="s">
        <v>45</v>
      </c>
      <c r="S4" s="18" t="s">
        <v>46</v>
      </c>
    </row>
    <row r="5" customFormat="false" ht="15" hidden="false" customHeight="false" outlineLevel="0" collapsed="false">
      <c r="A5" s="6" t="s">
        <v>7</v>
      </c>
      <c r="C5" s="19" t="n">
        <f aca="false">INDEX(Revenue!$C$17:$N$17,1)</f>
        <v>2985</v>
      </c>
      <c r="D5" s="19" t="n">
        <f aca="false">INDEX(Revenue!$C$17:$N$17,2)</f>
        <v>3635</v>
      </c>
      <c r="E5" s="19" t="n">
        <f aca="false">INDEX(Revenue!$C$17:$N$17,3)</f>
        <v>5572</v>
      </c>
      <c r="F5" s="19" t="n">
        <f aca="false">INDEX(Revenue!$C$17:$N$17,4)</f>
        <v>6383</v>
      </c>
      <c r="G5" s="19" t="n">
        <f aca="false">INDEX(Revenue!$C$17:$N$17,5)</f>
        <v>8452</v>
      </c>
      <c r="H5" s="19" t="n">
        <f aca="false">INDEX(Revenue!$C$17:$N$17,6)</f>
        <v>9395</v>
      </c>
      <c r="I5" s="19" t="n">
        <f aca="false">INDEX(Revenue!$C$17:$N$17,7)</f>
        <v>11567</v>
      </c>
      <c r="J5" s="19" t="n">
        <f aca="false">INDEX(Revenue!$C$17:$N$17,8)</f>
        <v>12613</v>
      </c>
      <c r="K5" s="19" t="n">
        <f aca="false">INDEX(Revenue!$C$17:$N$17,9)</f>
        <v>14888</v>
      </c>
      <c r="L5" s="19" t="n">
        <f aca="false">INDEX(Revenue!$C$17:$N$17,10)</f>
        <v>16037</v>
      </c>
      <c r="M5" s="19" t="n">
        <f aca="false">INDEX(Revenue!$C$17:$N$17,11)</f>
        <v>18415</v>
      </c>
      <c r="N5" s="19" t="n">
        <f aca="false">INDEX(Revenue!$C$17:$N$17,12)</f>
        <v>19622</v>
      </c>
      <c r="O5" s="19" t="n">
        <f aca="false">SUM(C5:N5)</f>
        <v>129564</v>
      </c>
      <c r="P5" s="19" t="n">
        <f aca="false">O5*(1+GrowthY2)</f>
        <v>174911.4</v>
      </c>
      <c r="Q5" s="19" t="n">
        <f aca="false">P5*(1+GrowthY3)</f>
        <v>218639.25</v>
      </c>
      <c r="R5" s="19" t="n">
        <f aca="false">Q5*(1+GrowthY4)</f>
        <v>257994.315</v>
      </c>
      <c r="S5" s="19" t="n">
        <f aca="false">R5*(1+GrowthY5)</f>
        <v>288953.6328</v>
      </c>
    </row>
    <row r="6" customFormat="false" ht="15" hidden="false" customHeight="false" outlineLevel="0" collapsed="false">
      <c r="A6" s="6" t="s">
        <v>92</v>
      </c>
      <c r="C6" s="19" t="n">
        <f aca="false">INDEX(Costs!$C$9:$N$9,1)</f>
        <v>1164.15</v>
      </c>
      <c r="D6" s="19" t="n">
        <f aca="false">INDEX(Costs!$C$9:$N$9,2)</f>
        <v>1417.65</v>
      </c>
      <c r="E6" s="19" t="n">
        <f aca="false">INDEX(Costs!$C$9:$N$9,3)</f>
        <v>2173.08</v>
      </c>
      <c r="F6" s="19" t="n">
        <f aca="false">INDEX(Costs!$C$9:$N$9,4)</f>
        <v>2489.37</v>
      </c>
      <c r="G6" s="19" t="n">
        <f aca="false">INDEX(Costs!$C$9:$N$9,5)</f>
        <v>3296.28</v>
      </c>
      <c r="H6" s="19" t="n">
        <f aca="false">INDEX(Costs!$C$9:$N$9,6)</f>
        <v>3664.05</v>
      </c>
      <c r="I6" s="19" t="n">
        <f aca="false">INDEX(Costs!$C$9:$N$9,7)</f>
        <v>4511.13</v>
      </c>
      <c r="J6" s="19" t="n">
        <f aca="false">INDEX(Costs!$C$9:$N$9,8)</f>
        <v>4919.07</v>
      </c>
      <c r="K6" s="19" t="n">
        <f aca="false">INDEX(Costs!$C$9:$N$9,9)</f>
        <v>5806.32</v>
      </c>
      <c r="L6" s="19" t="n">
        <f aca="false">INDEX(Costs!$C$9:$N$9,10)</f>
        <v>6254.43</v>
      </c>
      <c r="M6" s="19" t="n">
        <f aca="false">INDEX(Costs!$C$9:$N$9,11)</f>
        <v>7181.85</v>
      </c>
      <c r="N6" s="19" t="n">
        <f aca="false">INDEX(Costs!$C$9:$N$9,12)</f>
        <v>7652.58</v>
      </c>
      <c r="O6" s="19" t="n">
        <f aca="false">SUM(C6:N6)</f>
        <v>50529.96</v>
      </c>
      <c r="P6" s="19" t="n">
        <f aca="false">O6*(1+GrowthY2)</f>
        <v>68215.446</v>
      </c>
      <c r="Q6" s="19" t="n">
        <f aca="false">P6*(1+GrowthY3)</f>
        <v>85269.3075</v>
      </c>
      <c r="R6" s="19" t="n">
        <f aca="false">Q6*(1+GrowthY4)</f>
        <v>100617.78285</v>
      </c>
      <c r="S6" s="19" t="n">
        <f aca="false">R6*(1+GrowthY5)</f>
        <v>112691.916792</v>
      </c>
    </row>
    <row r="7" customFormat="false" ht="15" hidden="false" customHeight="false" outlineLevel="0" collapsed="false">
      <c r="A7" s="3" t="s">
        <v>47</v>
      </c>
      <c r="C7" s="38" t="n">
        <f aca="false">C5-C6</f>
        <v>1820.85</v>
      </c>
      <c r="D7" s="38" t="n">
        <f aca="false">D5-D6</f>
        <v>2217.35</v>
      </c>
      <c r="E7" s="38" t="n">
        <f aca="false">E5-E6</f>
        <v>3398.92</v>
      </c>
      <c r="F7" s="38" t="n">
        <f aca="false">F5-F6</f>
        <v>3893.63</v>
      </c>
      <c r="G7" s="38" t="n">
        <f aca="false">G5-G6</f>
        <v>5155.72</v>
      </c>
      <c r="H7" s="38" t="n">
        <f aca="false">H5-H6</f>
        <v>5730.95</v>
      </c>
      <c r="I7" s="38" t="n">
        <f aca="false">I5-I6</f>
        <v>7055.87</v>
      </c>
      <c r="J7" s="38" t="n">
        <f aca="false">J5-J6</f>
        <v>7693.93</v>
      </c>
      <c r="K7" s="38" t="n">
        <f aca="false">K5-K6</f>
        <v>9081.68</v>
      </c>
      <c r="L7" s="38" t="n">
        <f aca="false">L5-L6</f>
        <v>9782.57</v>
      </c>
      <c r="M7" s="38" t="n">
        <f aca="false">M5-M6</f>
        <v>11233.15</v>
      </c>
      <c r="N7" s="38" t="n">
        <f aca="false">N5-N6</f>
        <v>11969.42</v>
      </c>
      <c r="O7" s="38" t="n">
        <f aca="false">SUM(C7:N7)</f>
        <v>79034.04</v>
      </c>
      <c r="P7" s="38" t="n">
        <f aca="false">P5-P6</f>
        <v>106695.954</v>
      </c>
      <c r="Q7" s="38" t="n">
        <f aca="false">Q5-Q6</f>
        <v>133369.9425</v>
      </c>
      <c r="R7" s="38" t="n">
        <f aca="false">R5-R6</f>
        <v>157376.53215</v>
      </c>
      <c r="S7" s="38" t="n">
        <f aca="false">S5-S6</f>
        <v>176261.716008</v>
      </c>
    </row>
    <row r="8" customFormat="false" ht="15" hidden="false" customHeight="false" outlineLevel="0" collapsed="false">
      <c r="A8" s="11" t="s">
        <v>36</v>
      </c>
      <c r="C8" s="20" t="n">
        <f aca="false">IF(C5=0,0,C7/C5)</f>
        <v>0.61</v>
      </c>
      <c r="D8" s="20" t="n">
        <f aca="false">IF(D5=0,0,D7/D5)</f>
        <v>0.61</v>
      </c>
      <c r="E8" s="20" t="n">
        <f aca="false">IF(E5=0,0,E7/E5)</f>
        <v>0.61</v>
      </c>
      <c r="F8" s="20" t="n">
        <f aca="false">IF(F5=0,0,F7/F5)</f>
        <v>0.61</v>
      </c>
      <c r="G8" s="20" t="n">
        <f aca="false">IF(G5=0,0,G7/G5)</f>
        <v>0.61</v>
      </c>
      <c r="H8" s="20" t="n">
        <f aca="false">IF(H5=0,0,H7/H5)</f>
        <v>0.61</v>
      </c>
      <c r="I8" s="20" t="n">
        <f aca="false">IF(I5=0,0,I7/I5)</f>
        <v>0.61</v>
      </c>
      <c r="J8" s="20" t="n">
        <f aca="false">IF(J5=0,0,J7/J5)</f>
        <v>0.61</v>
      </c>
      <c r="K8" s="20" t="n">
        <f aca="false">IF(K5=0,0,K7/K5)</f>
        <v>0.61</v>
      </c>
      <c r="L8" s="20" t="n">
        <f aca="false">IF(L5=0,0,L7/L5)</f>
        <v>0.61</v>
      </c>
      <c r="M8" s="20" t="n">
        <f aca="false">IF(M5=0,0,M7/M5)</f>
        <v>0.61</v>
      </c>
      <c r="N8" s="20" t="n">
        <f aca="false">IF(N5=0,0,N7/N5)</f>
        <v>0.61</v>
      </c>
      <c r="O8" s="20" t="n">
        <f aca="false">IF(O5=0,0,O7/O5)</f>
        <v>0.61</v>
      </c>
      <c r="P8" s="20" t="n">
        <f aca="false">IF(P5=0,0,P7/P5)</f>
        <v>0.61</v>
      </c>
      <c r="Q8" s="20" t="n">
        <f aca="false">IF(Q5=0,0,Q7/Q5)</f>
        <v>0.61</v>
      </c>
      <c r="R8" s="20" t="n">
        <f aca="false">IF(R5=0,0,R7/R5)</f>
        <v>0.61</v>
      </c>
      <c r="S8" s="20" t="n">
        <f aca="false">IF(S5=0,0,S7/S5)</f>
        <v>0.61</v>
      </c>
    </row>
    <row r="10" customFormat="false" ht="15" hidden="false" customHeight="false" outlineLevel="0" collapsed="false">
      <c r="A10" s="6" t="s">
        <v>98</v>
      </c>
      <c r="C10" s="19" t="n">
        <f aca="false">INDEX(Costs!$C$19:$N$19,1)</f>
        <v>2450</v>
      </c>
      <c r="D10" s="19" t="n">
        <f aca="false">INDEX(Costs!$C$19:$N$19,2)</f>
        <v>2450</v>
      </c>
      <c r="E10" s="19" t="n">
        <f aca="false">INDEX(Costs!$C$19:$N$19,3)</f>
        <v>2650</v>
      </c>
      <c r="F10" s="19" t="n">
        <f aca="false">INDEX(Costs!$C$19:$N$19,4)</f>
        <v>2650</v>
      </c>
      <c r="G10" s="19" t="n">
        <f aca="false">INDEX(Costs!$C$19:$N$19,5)</f>
        <v>2850</v>
      </c>
      <c r="H10" s="19" t="n">
        <f aca="false">INDEX(Costs!$C$19:$N$19,6)</f>
        <v>2850</v>
      </c>
      <c r="I10" s="19" t="n">
        <f aca="false">INDEX(Costs!$C$19:$N$19,7)</f>
        <v>3050</v>
      </c>
      <c r="J10" s="19" t="n">
        <f aca="false">INDEX(Costs!$C$19:$N$19,8)</f>
        <v>3050</v>
      </c>
      <c r="K10" s="19" t="n">
        <f aca="false">INDEX(Costs!$C$19:$N$19,9)</f>
        <v>3250</v>
      </c>
      <c r="L10" s="19" t="n">
        <f aca="false">INDEX(Costs!$C$19:$N$19,10)</f>
        <v>3250</v>
      </c>
      <c r="M10" s="19" t="n">
        <f aca="false">INDEX(Costs!$C$19:$N$19,11)</f>
        <v>3450</v>
      </c>
      <c r="N10" s="19" t="n">
        <f aca="false">INDEX(Costs!$C$19:$N$19,12)</f>
        <v>3450</v>
      </c>
      <c r="O10" s="19" t="n">
        <f aca="false">SUM(C10:N10)</f>
        <v>35400</v>
      </c>
      <c r="P10" s="19" t="n">
        <f aca="false">O10*(1+OverheadGrowth)</f>
        <v>38940</v>
      </c>
      <c r="Q10" s="19" t="n">
        <f aca="false">P10*(1+OverheadGrowth)</f>
        <v>42834</v>
      </c>
      <c r="R10" s="19" t="n">
        <f aca="false">Q10*(1+OverheadGrowth)</f>
        <v>47117.4</v>
      </c>
      <c r="S10" s="19" t="n">
        <f aca="false">R10*(1+OverheadGrowth)</f>
        <v>51829.14</v>
      </c>
    </row>
    <row r="11" customFormat="false" ht="15" hidden="false" customHeight="false" outlineLevel="0" collapsed="false">
      <c r="A11" s="6" t="s">
        <v>11</v>
      </c>
      <c r="C11" s="19" t="n">
        <f aca="false">INDEX(Personnel!$E$10:$P$10,1)</f>
        <v>2800</v>
      </c>
      <c r="D11" s="19" t="n">
        <f aca="false">INDEX(Personnel!$E$10:$P$10,2)</f>
        <v>2800</v>
      </c>
      <c r="E11" s="19" t="n">
        <f aca="false">INDEX(Personnel!$E$10:$P$10,3)</f>
        <v>2800</v>
      </c>
      <c r="F11" s="19" t="n">
        <f aca="false">INDEX(Personnel!$E$10:$P$10,4)</f>
        <v>2800</v>
      </c>
      <c r="G11" s="19" t="n">
        <f aca="false">INDEX(Personnel!$E$10:$P$10,5)</f>
        <v>2800</v>
      </c>
      <c r="H11" s="19" t="n">
        <f aca="false">INDEX(Personnel!$E$10:$P$10,6)</f>
        <v>2800</v>
      </c>
      <c r="I11" s="19" t="n">
        <f aca="false">INDEX(Personnel!$E$10:$P$10,7)</f>
        <v>4144</v>
      </c>
      <c r="J11" s="19" t="n">
        <f aca="false">INDEX(Personnel!$E$10:$P$10,8)</f>
        <v>4144</v>
      </c>
      <c r="K11" s="19" t="n">
        <f aca="false">INDEX(Personnel!$E$10:$P$10,9)</f>
        <v>4144</v>
      </c>
      <c r="L11" s="19" t="n">
        <f aca="false">INDEX(Personnel!$E$10:$P$10,10)</f>
        <v>4144</v>
      </c>
      <c r="M11" s="19" t="n">
        <f aca="false">INDEX(Personnel!$E$10:$P$10,11)</f>
        <v>4144</v>
      </c>
      <c r="N11" s="19" t="n">
        <f aca="false">INDEX(Personnel!$E$10:$P$10,12)</f>
        <v>4144</v>
      </c>
      <c r="O11" s="19" t="n">
        <f aca="false">SUM(C11:N11)</f>
        <v>41664</v>
      </c>
      <c r="P11" s="19" t="n">
        <f aca="false">O11*(1+OverheadGrowth)</f>
        <v>45830.4</v>
      </c>
      <c r="Q11" s="19" t="n">
        <f aca="false">P11*(1+OverheadGrowth)</f>
        <v>50413.44</v>
      </c>
      <c r="R11" s="19" t="n">
        <f aca="false">Q11*(1+OverheadGrowth)</f>
        <v>55454.784</v>
      </c>
      <c r="S11" s="19" t="n">
        <f aca="false">R11*(1+OverheadGrowth)</f>
        <v>61000.2624</v>
      </c>
    </row>
    <row r="12" customFormat="false" ht="15" hidden="false" customHeight="false" outlineLevel="0" collapsed="false">
      <c r="A12" s="6" t="s">
        <v>147</v>
      </c>
      <c r="C12" s="19" t="n">
        <f aca="false">INDEX(Capital!$F$9:$Q$9,1)</f>
        <v>266.666666666667</v>
      </c>
      <c r="D12" s="19" t="n">
        <f aca="false">INDEX(Capital!$F$9:$Q$9,2)</f>
        <v>266.666666666667</v>
      </c>
      <c r="E12" s="19" t="n">
        <f aca="false">INDEX(Capital!$F$9:$Q$9,3)</f>
        <v>266.666666666667</v>
      </c>
      <c r="F12" s="19" t="n">
        <f aca="false">INDEX(Capital!$F$9:$Q$9,4)</f>
        <v>363.888888888889</v>
      </c>
      <c r="G12" s="19" t="n">
        <f aca="false">INDEX(Capital!$F$9:$Q$9,5)</f>
        <v>363.888888888889</v>
      </c>
      <c r="H12" s="19" t="n">
        <f aca="false">INDEX(Capital!$F$9:$Q$9,6)</f>
        <v>363.888888888889</v>
      </c>
      <c r="I12" s="19" t="n">
        <f aca="false">INDEX(Capital!$F$9:$Q$9,7)</f>
        <v>363.888888888889</v>
      </c>
      <c r="J12" s="19" t="n">
        <f aca="false">INDEX(Capital!$F$9:$Q$9,8)</f>
        <v>363.888888888889</v>
      </c>
      <c r="K12" s="19" t="n">
        <f aca="false">INDEX(Capital!$F$9:$Q$9,9)</f>
        <v>363.888888888889</v>
      </c>
      <c r="L12" s="19" t="n">
        <f aca="false">INDEX(Capital!$F$9:$Q$9,10)</f>
        <v>363.888888888889</v>
      </c>
      <c r="M12" s="19" t="n">
        <f aca="false">INDEX(Capital!$F$9:$Q$9,11)</f>
        <v>363.888888888889</v>
      </c>
      <c r="N12" s="19" t="n">
        <f aca="false">INDEX(Capital!$F$9:$Q$9,12)</f>
        <v>363.888888888889</v>
      </c>
      <c r="O12" s="19" t="n">
        <f aca="false">SUM(C12:N12)</f>
        <v>4075</v>
      </c>
      <c r="P12" s="19" t="n">
        <f aca="false">Capital!S9</f>
        <v>4366.66666666667</v>
      </c>
      <c r="Q12" s="19" t="n">
        <f aca="false">Capital!T9</f>
        <v>4366.66666666667</v>
      </c>
      <c r="R12" s="19" t="n">
        <f aca="false">Capital!U9</f>
        <v>4366.66666666667</v>
      </c>
      <c r="S12" s="19" t="n">
        <f aca="false">Capital!V9</f>
        <v>4366.66666666667</v>
      </c>
    </row>
    <row r="13" customFormat="false" ht="15" hidden="false" customHeight="false" outlineLevel="0" collapsed="false">
      <c r="A13" s="3" t="s">
        <v>148</v>
      </c>
      <c r="C13" s="38" t="n">
        <f aca="false">C7-C10-C11-C12</f>
        <v>-3695.81666666667</v>
      </c>
      <c r="D13" s="38" t="n">
        <f aca="false">D7-D10-D11-D12</f>
        <v>-3299.31666666667</v>
      </c>
      <c r="E13" s="38" t="n">
        <f aca="false">E7-E10-E11-E12</f>
        <v>-2317.74666666667</v>
      </c>
      <c r="F13" s="38" t="n">
        <f aca="false">F7-F10-F11-F12</f>
        <v>-1920.25888888889</v>
      </c>
      <c r="G13" s="38" t="n">
        <f aca="false">G7-G10-G11-G12</f>
        <v>-858.168888888889</v>
      </c>
      <c r="H13" s="38" t="n">
        <f aca="false">H7-H10-H11-H12</f>
        <v>-282.93888888889</v>
      </c>
      <c r="I13" s="38" t="n">
        <f aca="false">I7-I10-I11-I12</f>
        <v>-502.01888888889</v>
      </c>
      <c r="J13" s="38" t="n">
        <f aca="false">J7-J10-J11-J12</f>
        <v>136.04111111111</v>
      </c>
      <c r="K13" s="38" t="n">
        <f aca="false">K7-K10-K11-K12</f>
        <v>1323.79111111111</v>
      </c>
      <c r="L13" s="38" t="n">
        <f aca="false">L7-L10-L11-L12</f>
        <v>2024.68111111111</v>
      </c>
      <c r="M13" s="38" t="n">
        <f aca="false">M7-M10-M11-M12</f>
        <v>3275.26111111111</v>
      </c>
      <c r="N13" s="38" t="n">
        <f aca="false">N7-N10-N11-N12</f>
        <v>4011.53111111111</v>
      </c>
      <c r="O13" s="38" t="n">
        <f aca="false">SUM(C13:N13)</f>
        <v>-2104.96000000001</v>
      </c>
      <c r="P13" s="38" t="n">
        <f aca="false">P7-P10-P11-P12</f>
        <v>17558.8873333333</v>
      </c>
      <c r="Q13" s="38" t="n">
        <f aca="false">Q7-Q10-Q11-Q12</f>
        <v>35755.8358333333</v>
      </c>
      <c r="R13" s="38" t="n">
        <f aca="false">R7-R10-R11-R12</f>
        <v>50437.6814833334</v>
      </c>
      <c r="S13" s="38" t="n">
        <f aca="false">S7-S10-S11-S12</f>
        <v>59065.6469413334</v>
      </c>
    </row>
    <row r="14" customFormat="false" ht="15" hidden="false" customHeight="false" outlineLevel="0" collapsed="false">
      <c r="A14" s="6" t="s">
        <v>149</v>
      </c>
      <c r="C14" s="19" t="n">
        <f aca="false">INDEX(Capital!$F$27:$Q$27,1)</f>
        <v>0</v>
      </c>
      <c r="D14" s="19" t="n">
        <f aca="false">INDEX(Capital!$F$27:$Q$27,2)</f>
        <v>112.5</v>
      </c>
      <c r="E14" s="19" t="n">
        <f aca="false">INDEX(Capital!$F$27:$Q$27,3)</f>
        <v>110.15625</v>
      </c>
      <c r="F14" s="19" t="n">
        <f aca="false">INDEX(Capital!$F$27:$Q$27,4)</f>
        <v>107.8125</v>
      </c>
      <c r="G14" s="19" t="n">
        <f aca="false">INDEX(Capital!$F$27:$Q$27,5)</f>
        <v>105.46875</v>
      </c>
      <c r="H14" s="19" t="n">
        <f aca="false">INDEX(Capital!$F$27:$Q$27,6)</f>
        <v>103.125</v>
      </c>
      <c r="I14" s="19" t="n">
        <f aca="false">INDEX(Capital!$F$27:$Q$27,7)</f>
        <v>100.78125</v>
      </c>
      <c r="J14" s="19" t="n">
        <f aca="false">INDEX(Capital!$F$27:$Q$27,8)</f>
        <v>98.4375</v>
      </c>
      <c r="K14" s="19" t="n">
        <f aca="false">INDEX(Capital!$F$27:$Q$27,9)</f>
        <v>96.09375</v>
      </c>
      <c r="L14" s="19" t="n">
        <f aca="false">INDEX(Capital!$F$27:$Q$27,10)</f>
        <v>93.75</v>
      </c>
      <c r="M14" s="19" t="n">
        <f aca="false">INDEX(Capital!$F$27:$Q$27,11)</f>
        <v>91.40625</v>
      </c>
      <c r="N14" s="19" t="n">
        <f aca="false">INDEX(Capital!$F$27:$Q$27,12)</f>
        <v>89.0625</v>
      </c>
      <c r="O14" s="19" t="n">
        <f aca="false">SUM(C14:N14)</f>
        <v>1108.59375</v>
      </c>
      <c r="P14" s="19" t="n">
        <f aca="false">Capital!S27</f>
        <v>871.875</v>
      </c>
      <c r="Q14" s="19" t="n">
        <f aca="false">Capital!T27</f>
        <v>534.375</v>
      </c>
      <c r="R14" s="19" t="n">
        <f aca="false">Capital!U27</f>
        <v>196.875</v>
      </c>
      <c r="S14" s="19" t="n">
        <f aca="false">Capital!V27</f>
        <v>14.0625</v>
      </c>
    </row>
    <row r="15" customFormat="false" ht="15" hidden="false" customHeight="false" outlineLevel="0" collapsed="false">
      <c r="A15" s="3" t="s">
        <v>150</v>
      </c>
      <c r="C15" s="38" t="n">
        <f aca="false">C13-C14</f>
        <v>-3695.81666666667</v>
      </c>
      <c r="D15" s="38" t="n">
        <f aca="false">D13-D14</f>
        <v>-3411.81666666667</v>
      </c>
      <c r="E15" s="38" t="n">
        <f aca="false">E13-E14</f>
        <v>-2427.90291666667</v>
      </c>
      <c r="F15" s="38" t="n">
        <f aca="false">F13-F14</f>
        <v>-2028.07138888889</v>
      </c>
      <c r="G15" s="38" t="n">
        <f aca="false">G13-G14</f>
        <v>-963.637638888889</v>
      </c>
      <c r="H15" s="38" t="n">
        <f aca="false">H13-H14</f>
        <v>-386.06388888889</v>
      </c>
      <c r="I15" s="38" t="n">
        <f aca="false">I13-I14</f>
        <v>-602.80013888889</v>
      </c>
      <c r="J15" s="38" t="n">
        <f aca="false">J13-J14</f>
        <v>37.6036111111096</v>
      </c>
      <c r="K15" s="38" t="n">
        <f aca="false">K13-K14</f>
        <v>1227.69736111111</v>
      </c>
      <c r="L15" s="38" t="n">
        <f aca="false">L13-L14</f>
        <v>1930.93111111111</v>
      </c>
      <c r="M15" s="38" t="n">
        <f aca="false">M13-M14</f>
        <v>3183.85486111111</v>
      </c>
      <c r="N15" s="38" t="n">
        <f aca="false">N13-N14</f>
        <v>3922.46861111111</v>
      </c>
      <c r="O15" s="38" t="n">
        <f aca="false">SUM(C15:N15)</f>
        <v>-3213.55375000001</v>
      </c>
      <c r="P15" s="38" t="n">
        <f aca="false">P13-P14</f>
        <v>16687.0123333333</v>
      </c>
      <c r="Q15" s="38" t="n">
        <f aca="false">Q13-Q14</f>
        <v>35221.4608333333</v>
      </c>
      <c r="R15" s="38" t="n">
        <f aca="false">R13-R14</f>
        <v>50240.8064833334</v>
      </c>
      <c r="S15" s="38" t="n">
        <f aca="false">S13-S14</f>
        <v>59051.5844413334</v>
      </c>
    </row>
    <row r="16" customFormat="false" ht="15" hidden="false" customHeight="false" outlineLevel="0" collapsed="false">
      <c r="A16" s="6" t="s">
        <v>151</v>
      </c>
      <c r="C16" s="19" t="n">
        <f aca="false">MAX(0,C15)*TaxRate</f>
        <v>0</v>
      </c>
      <c r="D16" s="19" t="n">
        <f aca="false">MAX(0,SUM($C$15:D15))*TaxRate-SUM($C$16:C16)</f>
        <v>0</v>
      </c>
      <c r="E16" s="19" t="n">
        <f aca="false">MAX(0,SUM($C$15:E15))*TaxRate-SUM($C$16:D16)</f>
        <v>0</v>
      </c>
      <c r="F16" s="19" t="n">
        <f aca="false">MAX(0,SUM($C$15:F15))*TaxRate-SUM($C$16:E16)</f>
        <v>0</v>
      </c>
      <c r="G16" s="19" t="n">
        <f aca="false">MAX(0,SUM($C$15:G15))*TaxRate-SUM($C$16:F16)</f>
        <v>0</v>
      </c>
      <c r="H16" s="19" t="n">
        <f aca="false">MAX(0,SUM($C$15:H15))*TaxRate-SUM($C$16:G16)</f>
        <v>0</v>
      </c>
      <c r="I16" s="19" t="n">
        <f aca="false">MAX(0,SUM($C$15:I15))*TaxRate-SUM($C$16:H16)</f>
        <v>0</v>
      </c>
      <c r="J16" s="19" t="n">
        <f aca="false">MAX(0,SUM($C$15:J15))*TaxRate-SUM($C$16:I16)</f>
        <v>0</v>
      </c>
      <c r="K16" s="19" t="n">
        <f aca="false">MAX(0,SUM($C$15:K15))*TaxRate-SUM($C$16:J16)</f>
        <v>0</v>
      </c>
      <c r="L16" s="19" t="n">
        <f aca="false">MAX(0,SUM($C$15:L15))*TaxRate-SUM($C$16:K16)</f>
        <v>0</v>
      </c>
      <c r="M16" s="19" t="n">
        <f aca="false">MAX(0,SUM($C$15:M15))*TaxRate-SUM($C$16:L16)</f>
        <v>0</v>
      </c>
      <c r="N16" s="19" t="n">
        <f aca="false">MAX(0,SUM($C$15:N15))*TaxRate-SUM($C$16:M16)</f>
        <v>0</v>
      </c>
      <c r="O16" s="19" t="n">
        <f aca="false">SUM(C16:N16)</f>
        <v>0</v>
      </c>
      <c r="P16" s="19" t="n">
        <f aca="false">MAX(0,P15)*TaxRate</f>
        <v>3504.27259</v>
      </c>
      <c r="Q16" s="19" t="n">
        <f aca="false">MAX(0,Q15)*TaxRate</f>
        <v>7396.506775</v>
      </c>
      <c r="R16" s="19" t="n">
        <f aca="false">MAX(0,R15)*TaxRate</f>
        <v>10550.5693615</v>
      </c>
      <c r="S16" s="19" t="n">
        <f aca="false">MAX(0,S15)*TaxRate</f>
        <v>12400.83273268</v>
      </c>
    </row>
    <row r="17" customFormat="false" ht="15" hidden="false" customHeight="false" outlineLevel="0" collapsed="false">
      <c r="A17" s="32" t="s">
        <v>37</v>
      </c>
      <c r="C17" s="15" t="n">
        <f aca="false">C15-C16</f>
        <v>-3695.81666666667</v>
      </c>
      <c r="D17" s="15" t="n">
        <f aca="false">D15-D16</f>
        <v>-3411.81666666667</v>
      </c>
      <c r="E17" s="15" t="n">
        <f aca="false">E15-E16</f>
        <v>-2427.90291666667</v>
      </c>
      <c r="F17" s="15" t="n">
        <f aca="false">F15-F16</f>
        <v>-2028.07138888889</v>
      </c>
      <c r="G17" s="15" t="n">
        <f aca="false">G15-G16</f>
        <v>-963.637638888889</v>
      </c>
      <c r="H17" s="15" t="n">
        <f aca="false">H15-H16</f>
        <v>-386.06388888889</v>
      </c>
      <c r="I17" s="15" t="n">
        <f aca="false">I15-I16</f>
        <v>-602.80013888889</v>
      </c>
      <c r="J17" s="15" t="n">
        <f aca="false">J15-J16</f>
        <v>37.6036111111096</v>
      </c>
      <c r="K17" s="15" t="n">
        <f aca="false">K15-K16</f>
        <v>1227.69736111111</v>
      </c>
      <c r="L17" s="15" t="n">
        <f aca="false">L15-L16</f>
        <v>1930.93111111111</v>
      </c>
      <c r="M17" s="15" t="n">
        <f aca="false">M15-M16</f>
        <v>3183.85486111111</v>
      </c>
      <c r="N17" s="15" t="n">
        <f aca="false">N15-N16</f>
        <v>3922.46861111111</v>
      </c>
      <c r="O17" s="15" t="n">
        <f aca="false">SUM(C17:N17)</f>
        <v>-3213.55375000001</v>
      </c>
      <c r="P17" s="15" t="n">
        <f aca="false">P15-P16</f>
        <v>13182.7397433333</v>
      </c>
      <c r="Q17" s="15" t="n">
        <f aca="false">Q15-Q16</f>
        <v>27824.9540583333</v>
      </c>
      <c r="R17" s="15" t="n">
        <f aca="false">R15-R16</f>
        <v>39690.2371218334</v>
      </c>
      <c r="S17" s="15" t="n">
        <f aca="false">S15-S16</f>
        <v>46650.7517086534</v>
      </c>
    </row>
    <row r="19" customFormat="false" ht="15" hidden="false" customHeight="false" outlineLevel="0" collapsed="false">
      <c r="A19" s="11" t="s">
        <v>152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4"/>
    <col collapsed="false" customWidth="true" hidden="false" outlineLevel="0" max="4" min="2" style="0" width="14"/>
    <col collapsed="false" customWidth="true" hidden="false" outlineLevel="0" max="19" min="5" style="0" width="12"/>
  </cols>
  <sheetData>
    <row r="1" customFormat="false" ht="24" hidden="false" customHeight="true" outlineLevel="0" collapsed="false">
      <c r="A1" s="13" t="s">
        <v>17</v>
      </c>
    </row>
    <row r="2" customFormat="false" ht="15" hidden="false" customHeight="false" outlineLevel="0" collapsed="false">
      <c r="A2" s="14" t="s">
        <v>153</v>
      </c>
    </row>
    <row r="4" customFormat="false" ht="15" hidden="false" customHeight="false" outlineLevel="0" collapsed="false">
      <c r="C4" s="29" t="n">
        <f aca="false">EDATE(StartMonth,0)</f>
        <v>46388</v>
      </c>
      <c r="D4" s="29" t="n">
        <f aca="false">EDATE(StartMonth,1)</f>
        <v>46419</v>
      </c>
      <c r="E4" s="29" t="n">
        <f aca="false">EDATE(StartMonth,2)</f>
        <v>46447</v>
      </c>
      <c r="F4" s="29" t="n">
        <f aca="false">EDATE(StartMonth,3)</f>
        <v>46478</v>
      </c>
      <c r="G4" s="29" t="n">
        <f aca="false">EDATE(StartMonth,4)</f>
        <v>46508</v>
      </c>
      <c r="H4" s="29" t="n">
        <f aca="false">EDATE(StartMonth,5)</f>
        <v>46539</v>
      </c>
      <c r="I4" s="29" t="n">
        <f aca="false">EDATE(StartMonth,6)</f>
        <v>46569</v>
      </c>
      <c r="J4" s="29" t="n">
        <f aca="false">EDATE(StartMonth,7)</f>
        <v>46600</v>
      </c>
      <c r="K4" s="29" t="n">
        <f aca="false">EDATE(StartMonth,8)</f>
        <v>46631</v>
      </c>
      <c r="L4" s="29" t="n">
        <f aca="false">EDATE(StartMonth,9)</f>
        <v>46661</v>
      </c>
      <c r="M4" s="29" t="n">
        <f aca="false">EDATE(StartMonth,10)</f>
        <v>46692</v>
      </c>
      <c r="N4" s="29" t="n">
        <f aca="false">EDATE(StartMonth,11)</f>
        <v>46722</v>
      </c>
      <c r="O4" s="18" t="s">
        <v>42</v>
      </c>
      <c r="P4" s="18" t="s">
        <v>43</v>
      </c>
      <c r="Q4" s="18" t="s">
        <v>44</v>
      </c>
      <c r="R4" s="18" t="s">
        <v>45</v>
      </c>
      <c r="S4" s="18" t="s">
        <v>46</v>
      </c>
    </row>
    <row r="5" customFormat="false" ht="15" hidden="false" customHeight="false" outlineLevel="0" collapsed="false">
      <c r="A5" s="6" t="s">
        <v>154</v>
      </c>
      <c r="C5" s="19" t="n">
        <f aca="false">OpeningCash</f>
        <v>25000</v>
      </c>
      <c r="D5" s="19" t="n">
        <f aca="false">C20</f>
        <v>24750</v>
      </c>
      <c r="E5" s="19" t="n">
        <f aca="false">D20</f>
        <v>20895.85</v>
      </c>
      <c r="F5" s="19" t="n">
        <f aca="false">E20</f>
        <v>17240.54375</v>
      </c>
      <c r="G5" s="19" t="n">
        <f aca="false">F20</f>
        <v>11269.15125</v>
      </c>
      <c r="H5" s="19" t="n">
        <f aca="false">G20</f>
        <v>9094.8125</v>
      </c>
      <c r="I5" s="19" t="n">
        <f aca="false">H20</f>
        <v>8184.9075</v>
      </c>
      <c r="J5" s="19" t="n">
        <f aca="false">I20</f>
        <v>6308.57625</v>
      </c>
      <c r="K5" s="19" t="n">
        <f aca="false">J20</f>
        <v>5759.50874999999</v>
      </c>
      <c r="L5" s="19" t="n">
        <f aca="false">K20</f>
        <v>5650.84499999999</v>
      </c>
      <c r="M5" s="19" t="n">
        <f aca="false">L20</f>
        <v>6932.27499999999</v>
      </c>
      <c r="N5" s="19" t="n">
        <f aca="false">M20</f>
        <v>8716.93874999999</v>
      </c>
      <c r="O5" s="19" t="n">
        <f aca="false">OpeningCash</f>
        <v>25000</v>
      </c>
      <c r="P5" s="19" t="n">
        <f aca="false">O20</f>
        <v>11954.52625</v>
      </c>
      <c r="Q5" s="19" t="n">
        <f aca="false">P20</f>
        <v>25753.93266</v>
      </c>
      <c r="R5" s="19" t="n">
        <f aca="false">Q20</f>
        <v>54195.553385</v>
      </c>
      <c r="S5" s="19" t="n">
        <f aca="false">R20</f>
        <v>94502.4571735</v>
      </c>
    </row>
    <row r="7" customFormat="false" ht="15" hidden="false" customHeight="false" outlineLevel="0" collapsed="false">
      <c r="A7" s="6" t="s">
        <v>155</v>
      </c>
      <c r="C7" s="19" t="n">
        <f aca="false">IF(1-ARMonths&lt;1,0,INDEX('Income statement'!$C$5:$N$5,1-ARMonths))</f>
        <v>0</v>
      </c>
      <c r="D7" s="19" t="n">
        <f aca="false">IF(2-ARMonths&lt;1,0,INDEX('Income statement'!$C$5:$N$5,2-ARMonths))</f>
        <v>2985</v>
      </c>
      <c r="E7" s="19" t="n">
        <f aca="false">IF(3-ARMonths&lt;1,0,INDEX('Income statement'!$C$5:$N$5,3-ARMonths))</f>
        <v>3635</v>
      </c>
      <c r="F7" s="19" t="n">
        <f aca="false">IF(4-ARMonths&lt;1,0,INDEX('Income statement'!$C$5:$N$5,4-ARMonths))</f>
        <v>5572</v>
      </c>
      <c r="G7" s="19" t="n">
        <f aca="false">IF(5-ARMonths&lt;1,0,INDEX('Income statement'!$C$5:$N$5,5-ARMonths))</f>
        <v>6383</v>
      </c>
      <c r="H7" s="19" t="n">
        <f aca="false">IF(6-ARMonths&lt;1,0,INDEX('Income statement'!$C$5:$N$5,6-ARMonths))</f>
        <v>8452</v>
      </c>
      <c r="I7" s="19" t="n">
        <f aca="false">IF(7-ARMonths&lt;1,0,INDEX('Income statement'!$C$5:$N$5,7-ARMonths))</f>
        <v>9395</v>
      </c>
      <c r="J7" s="19" t="n">
        <f aca="false">IF(8-ARMonths&lt;1,0,INDEX('Income statement'!$C$5:$N$5,8-ARMonths))</f>
        <v>11567</v>
      </c>
      <c r="K7" s="19" t="n">
        <f aca="false">IF(9-ARMonths&lt;1,0,INDEX('Income statement'!$C$5:$N$5,9-ARMonths))</f>
        <v>12613</v>
      </c>
      <c r="L7" s="19" t="n">
        <f aca="false">IF(10-ARMonths&lt;1,0,INDEX('Income statement'!$C$5:$N$5,10-ARMonths))</f>
        <v>14888</v>
      </c>
      <c r="M7" s="19" t="n">
        <f aca="false">IF(11-ARMonths&lt;1,0,INDEX('Income statement'!$C$5:$N$5,11-ARMonths))</f>
        <v>16037</v>
      </c>
      <c r="N7" s="19" t="n">
        <f aca="false">IF(12-ARMonths&lt;1,0,INDEX('Income statement'!$C$5:$N$5,12-ARMonths))</f>
        <v>18415</v>
      </c>
      <c r="O7" s="19" t="n">
        <f aca="false">SUM(C7:N7)</f>
        <v>109942</v>
      </c>
      <c r="P7" s="19" t="n">
        <f aca="false">'Income statement'!P5</f>
        <v>174911.4</v>
      </c>
      <c r="Q7" s="19" t="n">
        <f aca="false">'Income statement'!Q5</f>
        <v>218639.25</v>
      </c>
      <c r="R7" s="19" t="n">
        <f aca="false">'Income statement'!R5</f>
        <v>257994.315</v>
      </c>
      <c r="S7" s="19" t="n">
        <f aca="false">'Income statement'!S5</f>
        <v>288953.6328</v>
      </c>
    </row>
    <row r="8" customFormat="false" ht="15" hidden="false" customHeight="false" outlineLevel="0" collapsed="false">
      <c r="A8" s="6" t="s">
        <v>156</v>
      </c>
      <c r="C8" s="19" t="n">
        <f aca="false">INDEX(Capital!$F$26:$Q$26,1)</f>
        <v>15000</v>
      </c>
      <c r="D8" s="19" t="n">
        <f aca="false">INDEX(Capital!$F$26:$Q$26,2)</f>
        <v>0</v>
      </c>
      <c r="E8" s="19" t="n">
        <f aca="false">INDEX(Capital!$F$26:$Q$26,3)</f>
        <v>0</v>
      </c>
      <c r="F8" s="19" t="n">
        <f aca="false">INDEX(Capital!$F$26:$Q$26,4)</f>
        <v>0</v>
      </c>
      <c r="G8" s="19" t="n">
        <f aca="false">INDEX(Capital!$F$26:$Q$26,5)</f>
        <v>0</v>
      </c>
      <c r="H8" s="19" t="n">
        <f aca="false">INDEX(Capital!$F$26:$Q$26,6)</f>
        <v>0</v>
      </c>
      <c r="I8" s="19" t="n">
        <f aca="false">INDEX(Capital!$F$26:$Q$26,7)</f>
        <v>0</v>
      </c>
      <c r="J8" s="19" t="n">
        <f aca="false">INDEX(Capital!$F$26:$Q$26,8)</f>
        <v>0</v>
      </c>
      <c r="K8" s="19" t="n">
        <f aca="false">INDEX(Capital!$F$26:$Q$26,9)</f>
        <v>0</v>
      </c>
      <c r="L8" s="19" t="n">
        <f aca="false">INDEX(Capital!$F$26:$Q$26,10)</f>
        <v>0</v>
      </c>
      <c r="M8" s="19" t="n">
        <f aca="false">INDEX(Capital!$F$26:$Q$26,11)</f>
        <v>0</v>
      </c>
      <c r="N8" s="19" t="n">
        <f aca="false">INDEX(Capital!$F$26:$Q$26,12)</f>
        <v>0</v>
      </c>
      <c r="O8" s="19" t="n">
        <f aca="false">SUM(C8:N8)</f>
        <v>15000</v>
      </c>
      <c r="P8" s="19" t="n">
        <f aca="false">Capital!S26</f>
        <v>0</v>
      </c>
      <c r="Q8" s="19" t="n">
        <f aca="false">Capital!T26</f>
        <v>0</v>
      </c>
      <c r="R8" s="19" t="n">
        <f aca="false">Capital!U26</f>
        <v>0</v>
      </c>
      <c r="S8" s="19" t="n">
        <f aca="false">Capital!V26</f>
        <v>0</v>
      </c>
    </row>
    <row r="9" customFormat="false" ht="15" hidden="false" customHeight="false" outlineLevel="0" collapsed="false">
      <c r="A9" s="6" t="s">
        <v>157</v>
      </c>
      <c r="C9" s="19" t="n">
        <f aca="false">INDEX(Capital!$F$35:$Q$35,1)</f>
        <v>10000</v>
      </c>
      <c r="D9" s="19" t="n">
        <f aca="false">INDEX(Capital!$F$35:$Q$35,2)</f>
        <v>0</v>
      </c>
      <c r="E9" s="19" t="n">
        <f aca="false">INDEX(Capital!$F$35:$Q$35,3)</f>
        <v>0</v>
      </c>
      <c r="F9" s="19" t="n">
        <f aca="false">INDEX(Capital!$F$35:$Q$35,4)</f>
        <v>0</v>
      </c>
      <c r="G9" s="19" t="n">
        <f aca="false">INDEX(Capital!$F$35:$Q$35,5)</f>
        <v>0</v>
      </c>
      <c r="H9" s="19" t="n">
        <f aca="false">INDEX(Capital!$F$35:$Q$35,6)</f>
        <v>0</v>
      </c>
      <c r="I9" s="19" t="n">
        <f aca="false">INDEX(Capital!$F$35:$Q$35,7)</f>
        <v>0</v>
      </c>
      <c r="J9" s="19" t="n">
        <f aca="false">INDEX(Capital!$F$35:$Q$35,8)</f>
        <v>0</v>
      </c>
      <c r="K9" s="19" t="n">
        <f aca="false">INDEX(Capital!$F$35:$Q$35,9)</f>
        <v>0</v>
      </c>
      <c r="L9" s="19" t="n">
        <f aca="false">INDEX(Capital!$F$35:$Q$35,10)</f>
        <v>0</v>
      </c>
      <c r="M9" s="19" t="n">
        <f aca="false">INDEX(Capital!$F$35:$Q$35,11)</f>
        <v>0</v>
      </c>
      <c r="N9" s="19" t="n">
        <f aca="false">INDEX(Capital!$F$35:$Q$35,12)</f>
        <v>0</v>
      </c>
      <c r="O9" s="19" t="n">
        <f aca="false">SUM(C9:N9)</f>
        <v>10000</v>
      </c>
      <c r="P9" s="19" t="n">
        <f aca="false">Capital!S35</f>
        <v>0</v>
      </c>
      <c r="Q9" s="19" t="n">
        <f aca="false">Capital!T35</f>
        <v>0</v>
      </c>
      <c r="R9" s="19" t="n">
        <f aca="false">Capital!U35</f>
        <v>0</v>
      </c>
      <c r="S9" s="19" t="n">
        <f aca="false">Capital!V35</f>
        <v>0</v>
      </c>
    </row>
    <row r="11" customFormat="false" ht="15" hidden="false" customHeight="false" outlineLevel="0" collapsed="false">
      <c r="A11" s="6" t="s">
        <v>158</v>
      </c>
      <c r="C11" s="19" t="n">
        <f aca="false">IF(1-APMonths&lt;1,0,INDEX('Income statement'!$C$6:$N$6,1-APMonths))</f>
        <v>0</v>
      </c>
      <c r="D11" s="19" t="n">
        <f aca="false">IF(2-APMonths&lt;1,0,INDEX('Income statement'!$C$6:$N$6,2-APMonths))</f>
        <v>1164.15</v>
      </c>
      <c r="E11" s="19" t="n">
        <f aca="false">IF(3-APMonths&lt;1,0,INDEX('Income statement'!$C$6:$N$6,3-APMonths))</f>
        <v>1417.65</v>
      </c>
      <c r="F11" s="19" t="n">
        <f aca="false">IF(4-APMonths&lt;1,0,INDEX('Income statement'!$C$6:$N$6,4-APMonths))</f>
        <v>2173.08</v>
      </c>
      <c r="G11" s="19" t="n">
        <f aca="false">IF(5-APMonths&lt;1,0,INDEX('Income statement'!$C$6:$N$6,5-APMonths))</f>
        <v>2489.37</v>
      </c>
      <c r="H11" s="19" t="n">
        <f aca="false">IF(6-APMonths&lt;1,0,INDEX('Income statement'!$C$6:$N$6,6-APMonths))</f>
        <v>3296.28</v>
      </c>
      <c r="I11" s="19" t="n">
        <f aca="false">IF(7-APMonths&lt;1,0,INDEX('Income statement'!$C$6:$N$6,7-APMonths))</f>
        <v>3664.05</v>
      </c>
      <c r="J11" s="19" t="n">
        <f aca="false">IF(8-APMonths&lt;1,0,INDEX('Income statement'!$C$6:$N$6,8-APMonths))</f>
        <v>4511.13</v>
      </c>
      <c r="K11" s="19" t="n">
        <f aca="false">IF(9-APMonths&lt;1,0,INDEX('Income statement'!$C$6:$N$6,9-APMonths))</f>
        <v>4919.07</v>
      </c>
      <c r="L11" s="19" t="n">
        <f aca="false">IF(10-APMonths&lt;1,0,INDEX('Income statement'!$C$6:$N$6,10-APMonths))</f>
        <v>5806.32</v>
      </c>
      <c r="M11" s="19" t="n">
        <f aca="false">IF(11-APMonths&lt;1,0,INDEX('Income statement'!$C$6:$N$6,11-APMonths))</f>
        <v>6254.43</v>
      </c>
      <c r="N11" s="19" t="n">
        <f aca="false">IF(12-APMonths&lt;1,0,INDEX('Income statement'!$C$6:$N$6,12-APMonths))</f>
        <v>7181.85</v>
      </c>
      <c r="O11" s="19" t="n">
        <f aca="false">SUM(C11:N11)</f>
        <v>42877.38</v>
      </c>
      <c r="P11" s="19" t="n">
        <f aca="false">'Income statement'!P6</f>
        <v>68215.446</v>
      </c>
      <c r="Q11" s="19" t="n">
        <f aca="false">'Income statement'!Q6</f>
        <v>85269.3075</v>
      </c>
      <c r="R11" s="19" t="n">
        <f aca="false">'Income statement'!R6</f>
        <v>100617.78285</v>
      </c>
      <c r="S11" s="19" t="n">
        <f aca="false">'Income statement'!S6</f>
        <v>112691.916792</v>
      </c>
    </row>
    <row r="12" customFormat="false" ht="15" hidden="false" customHeight="false" outlineLevel="0" collapsed="false">
      <c r="A12" s="6" t="s">
        <v>159</v>
      </c>
      <c r="C12" s="19" t="n">
        <f aca="false">'Income statement'!C10</f>
        <v>2450</v>
      </c>
      <c r="D12" s="19" t="n">
        <f aca="false">'Income statement'!D10</f>
        <v>2450</v>
      </c>
      <c r="E12" s="19" t="n">
        <f aca="false">'Income statement'!E10</f>
        <v>2650</v>
      </c>
      <c r="F12" s="19" t="n">
        <f aca="false">'Income statement'!F10</f>
        <v>2650</v>
      </c>
      <c r="G12" s="19" t="n">
        <f aca="false">'Income statement'!G10</f>
        <v>2850</v>
      </c>
      <c r="H12" s="19" t="n">
        <f aca="false">'Income statement'!H10</f>
        <v>2850</v>
      </c>
      <c r="I12" s="19" t="n">
        <f aca="false">'Income statement'!I10</f>
        <v>3050</v>
      </c>
      <c r="J12" s="19" t="n">
        <f aca="false">'Income statement'!J10</f>
        <v>3050</v>
      </c>
      <c r="K12" s="19" t="n">
        <f aca="false">'Income statement'!K10</f>
        <v>3250</v>
      </c>
      <c r="L12" s="19" t="n">
        <f aca="false">'Income statement'!L10</f>
        <v>3250</v>
      </c>
      <c r="M12" s="19" t="n">
        <f aca="false">'Income statement'!M10</f>
        <v>3450</v>
      </c>
      <c r="N12" s="19" t="n">
        <f aca="false">'Income statement'!N10</f>
        <v>3450</v>
      </c>
      <c r="O12" s="19" t="n">
        <f aca="false">SUM(C12:N12)</f>
        <v>35400</v>
      </c>
      <c r="P12" s="19" t="n">
        <f aca="false">'Income statement'!P10</f>
        <v>38940</v>
      </c>
      <c r="Q12" s="19" t="n">
        <f aca="false">'Income statement'!Q10</f>
        <v>42834</v>
      </c>
      <c r="R12" s="19" t="n">
        <f aca="false">'Income statement'!R10</f>
        <v>47117.4</v>
      </c>
      <c r="S12" s="19" t="n">
        <f aca="false">'Income statement'!S10</f>
        <v>51829.14</v>
      </c>
    </row>
    <row r="13" customFormat="false" ht="15" hidden="false" customHeight="false" outlineLevel="0" collapsed="false">
      <c r="A13" s="6" t="s">
        <v>160</v>
      </c>
      <c r="C13" s="19" t="n">
        <f aca="false">'Income statement'!C11</f>
        <v>2800</v>
      </c>
      <c r="D13" s="19" t="n">
        <f aca="false">'Income statement'!D11</f>
        <v>2800</v>
      </c>
      <c r="E13" s="19" t="n">
        <f aca="false">'Income statement'!E11</f>
        <v>2800</v>
      </c>
      <c r="F13" s="19" t="n">
        <f aca="false">'Income statement'!F11</f>
        <v>2800</v>
      </c>
      <c r="G13" s="19" t="n">
        <f aca="false">'Income statement'!G11</f>
        <v>2800</v>
      </c>
      <c r="H13" s="19" t="n">
        <f aca="false">'Income statement'!H11</f>
        <v>2800</v>
      </c>
      <c r="I13" s="19" t="n">
        <f aca="false">'Income statement'!I11</f>
        <v>4144</v>
      </c>
      <c r="J13" s="19" t="n">
        <f aca="false">'Income statement'!J11</f>
        <v>4144</v>
      </c>
      <c r="K13" s="19" t="n">
        <f aca="false">'Income statement'!K11</f>
        <v>4144</v>
      </c>
      <c r="L13" s="19" t="n">
        <f aca="false">'Income statement'!L11</f>
        <v>4144</v>
      </c>
      <c r="M13" s="19" t="n">
        <f aca="false">'Income statement'!M11</f>
        <v>4144</v>
      </c>
      <c r="N13" s="19" t="n">
        <f aca="false">'Income statement'!N11</f>
        <v>4144</v>
      </c>
      <c r="O13" s="19" t="n">
        <f aca="false">SUM(C13:N13)</f>
        <v>41664</v>
      </c>
      <c r="P13" s="19" t="n">
        <f aca="false">'Income statement'!P11</f>
        <v>45830.4</v>
      </c>
      <c r="Q13" s="19" t="n">
        <f aca="false">'Income statement'!Q11</f>
        <v>50413.44</v>
      </c>
      <c r="R13" s="19" t="n">
        <f aca="false">'Income statement'!R11</f>
        <v>55454.784</v>
      </c>
      <c r="S13" s="19" t="n">
        <f aca="false">'Income statement'!S11</f>
        <v>61000.2624</v>
      </c>
    </row>
    <row r="14" customFormat="false" ht="15" hidden="false" customHeight="false" outlineLevel="0" collapsed="false">
      <c r="A14" s="6" t="s">
        <v>161</v>
      </c>
      <c r="C14" s="19" t="n">
        <f aca="false">'Income statement'!C14</f>
        <v>0</v>
      </c>
      <c r="D14" s="19" t="n">
        <f aca="false">'Income statement'!D14</f>
        <v>112.5</v>
      </c>
      <c r="E14" s="19" t="n">
        <f aca="false">'Income statement'!E14</f>
        <v>110.15625</v>
      </c>
      <c r="F14" s="19" t="n">
        <f aca="false">'Income statement'!F14</f>
        <v>107.8125</v>
      </c>
      <c r="G14" s="19" t="n">
        <f aca="false">'Income statement'!G14</f>
        <v>105.46875</v>
      </c>
      <c r="H14" s="19" t="n">
        <f aca="false">'Income statement'!H14</f>
        <v>103.125</v>
      </c>
      <c r="I14" s="19" t="n">
        <f aca="false">'Income statement'!I14</f>
        <v>100.78125</v>
      </c>
      <c r="J14" s="19" t="n">
        <f aca="false">'Income statement'!J14</f>
        <v>98.4375</v>
      </c>
      <c r="K14" s="19" t="n">
        <f aca="false">'Income statement'!K14</f>
        <v>96.09375</v>
      </c>
      <c r="L14" s="19" t="n">
        <f aca="false">'Income statement'!L14</f>
        <v>93.75</v>
      </c>
      <c r="M14" s="19" t="n">
        <f aca="false">'Income statement'!M14</f>
        <v>91.40625</v>
      </c>
      <c r="N14" s="19" t="n">
        <f aca="false">'Income statement'!N14</f>
        <v>89.0625</v>
      </c>
      <c r="O14" s="19" t="n">
        <f aca="false">SUM(C14:N14)</f>
        <v>1108.59375</v>
      </c>
      <c r="P14" s="19" t="n">
        <f aca="false">'Income statement'!P14</f>
        <v>871.875</v>
      </c>
      <c r="Q14" s="19" t="n">
        <f aca="false">'Income statement'!Q14</f>
        <v>534.375</v>
      </c>
      <c r="R14" s="19" t="n">
        <f aca="false">'Income statement'!R14</f>
        <v>196.875</v>
      </c>
      <c r="S14" s="19" t="n">
        <f aca="false">'Income statement'!S14</f>
        <v>14.0625</v>
      </c>
    </row>
    <row r="15" customFormat="false" ht="15" hidden="false" customHeight="false" outlineLevel="0" collapsed="false">
      <c r="A15" s="6" t="s">
        <v>162</v>
      </c>
      <c r="C15" s="19" t="n">
        <f aca="false">INDEX(Capital!$F$28:$Q$28,1)</f>
        <v>0</v>
      </c>
      <c r="D15" s="19" t="n">
        <f aca="false">INDEX(Capital!$F$28:$Q$28,2)</f>
        <v>312.5</v>
      </c>
      <c r="E15" s="19" t="n">
        <f aca="false">INDEX(Capital!$F$28:$Q$28,3)</f>
        <v>312.5</v>
      </c>
      <c r="F15" s="19" t="n">
        <f aca="false">INDEX(Capital!$F$28:$Q$28,4)</f>
        <v>312.5</v>
      </c>
      <c r="G15" s="19" t="n">
        <f aca="false">INDEX(Capital!$F$28:$Q$28,5)</f>
        <v>312.5</v>
      </c>
      <c r="H15" s="19" t="n">
        <f aca="false">INDEX(Capital!$F$28:$Q$28,6)</f>
        <v>312.5</v>
      </c>
      <c r="I15" s="19" t="n">
        <f aca="false">INDEX(Capital!$F$28:$Q$28,7)</f>
        <v>312.5</v>
      </c>
      <c r="J15" s="19" t="n">
        <f aca="false">INDEX(Capital!$F$28:$Q$28,8)</f>
        <v>312.5</v>
      </c>
      <c r="K15" s="19" t="n">
        <f aca="false">INDEX(Capital!$F$28:$Q$28,9)</f>
        <v>312.5</v>
      </c>
      <c r="L15" s="19" t="n">
        <f aca="false">INDEX(Capital!$F$28:$Q$28,10)</f>
        <v>312.5</v>
      </c>
      <c r="M15" s="19" t="n">
        <f aca="false">INDEX(Capital!$F$28:$Q$28,11)</f>
        <v>312.5</v>
      </c>
      <c r="N15" s="19" t="n">
        <f aca="false">INDEX(Capital!$F$28:$Q$28,12)</f>
        <v>312.5</v>
      </c>
      <c r="O15" s="19" t="n">
        <f aca="false">SUM(C15:N15)</f>
        <v>3437.5</v>
      </c>
      <c r="P15" s="19" t="n">
        <f aca="false">Capital!S28</f>
        <v>3750</v>
      </c>
      <c r="Q15" s="19" t="n">
        <f aca="false">Capital!T28</f>
        <v>3750</v>
      </c>
      <c r="R15" s="19" t="n">
        <f aca="false">Capital!U28</f>
        <v>3750</v>
      </c>
      <c r="S15" s="19" t="n">
        <f aca="false">Capital!V28</f>
        <v>312.5</v>
      </c>
    </row>
    <row r="16" customFormat="false" ht="15" hidden="false" customHeight="false" outlineLevel="0" collapsed="false">
      <c r="A16" s="6" t="s">
        <v>163</v>
      </c>
      <c r="C16" s="19" t="n">
        <f aca="false">INDEX(Capital!$F$10:$Q$10,1)</f>
        <v>20000</v>
      </c>
      <c r="D16" s="19" t="n">
        <f aca="false">INDEX(Capital!$F$10:$Q$10,2)</f>
        <v>0</v>
      </c>
      <c r="E16" s="19" t="n">
        <f aca="false">INDEX(Capital!$F$10:$Q$10,3)</f>
        <v>0</v>
      </c>
      <c r="F16" s="19" t="n">
        <f aca="false">INDEX(Capital!$F$10:$Q$10,4)</f>
        <v>3500</v>
      </c>
      <c r="G16" s="19" t="n">
        <f aca="false">INDEX(Capital!$F$10:$Q$10,5)</f>
        <v>0</v>
      </c>
      <c r="H16" s="19" t="n">
        <f aca="false">INDEX(Capital!$F$10:$Q$10,6)</f>
        <v>0</v>
      </c>
      <c r="I16" s="19" t="n">
        <f aca="false">INDEX(Capital!$F$10:$Q$10,7)</f>
        <v>0</v>
      </c>
      <c r="J16" s="19" t="n">
        <f aca="false">INDEX(Capital!$F$10:$Q$10,8)</f>
        <v>0</v>
      </c>
      <c r="K16" s="19" t="n">
        <f aca="false">INDEX(Capital!$F$10:$Q$10,9)</f>
        <v>0</v>
      </c>
      <c r="L16" s="19" t="n">
        <f aca="false">INDEX(Capital!$F$10:$Q$10,10)</f>
        <v>0</v>
      </c>
      <c r="M16" s="19" t="n">
        <f aca="false">INDEX(Capital!$F$10:$Q$10,11)</f>
        <v>0</v>
      </c>
      <c r="N16" s="19" t="n">
        <f aca="false">INDEX(Capital!$F$10:$Q$10,12)</f>
        <v>0</v>
      </c>
      <c r="O16" s="19" t="n">
        <f aca="false">SUM(C16:N16)</f>
        <v>23500</v>
      </c>
      <c r="P16" s="19" t="n">
        <f aca="false">Capital!S10</f>
        <v>0</v>
      </c>
      <c r="Q16" s="19" t="n">
        <f aca="false">Capital!T10</f>
        <v>0</v>
      </c>
      <c r="R16" s="19" t="n">
        <f aca="false">Capital!U10</f>
        <v>0</v>
      </c>
      <c r="S16" s="19" t="n">
        <f aca="false">Capital!V10</f>
        <v>0</v>
      </c>
    </row>
    <row r="17" customFormat="false" ht="15" hidden="false" customHeight="false" outlineLevel="0" collapsed="false">
      <c r="A17" s="6" t="s">
        <v>164</v>
      </c>
      <c r="C17" s="19" t="n">
        <f aca="false">'Income statement'!C16</f>
        <v>0</v>
      </c>
      <c r="D17" s="19" t="n">
        <f aca="false">'Income statement'!D16</f>
        <v>0</v>
      </c>
      <c r="E17" s="19" t="n">
        <f aca="false">'Income statement'!E16</f>
        <v>0</v>
      </c>
      <c r="F17" s="19" t="n">
        <f aca="false">'Income statement'!F16</f>
        <v>0</v>
      </c>
      <c r="G17" s="19" t="n">
        <f aca="false">'Income statement'!G16</f>
        <v>0</v>
      </c>
      <c r="H17" s="19" t="n">
        <f aca="false">'Income statement'!H16</f>
        <v>0</v>
      </c>
      <c r="I17" s="19" t="n">
        <f aca="false">'Income statement'!I16</f>
        <v>0</v>
      </c>
      <c r="J17" s="19" t="n">
        <f aca="false">'Income statement'!J16</f>
        <v>0</v>
      </c>
      <c r="K17" s="19" t="n">
        <f aca="false">'Income statement'!K16</f>
        <v>0</v>
      </c>
      <c r="L17" s="19" t="n">
        <f aca="false">'Income statement'!L16</f>
        <v>0</v>
      </c>
      <c r="M17" s="19" t="n">
        <f aca="false">'Income statement'!M16</f>
        <v>0</v>
      </c>
      <c r="N17" s="19" t="n">
        <f aca="false">'Income statement'!N16</f>
        <v>0</v>
      </c>
      <c r="O17" s="19" t="n">
        <f aca="false">SUM(C17:N17)</f>
        <v>0</v>
      </c>
      <c r="P17" s="19" t="n">
        <f aca="false">'Income statement'!P16</f>
        <v>3504.27259</v>
      </c>
      <c r="Q17" s="19" t="n">
        <f aca="false">'Income statement'!Q16</f>
        <v>7396.506775</v>
      </c>
      <c r="R17" s="19" t="n">
        <f aca="false">'Income statement'!R16</f>
        <v>10550.5693615</v>
      </c>
      <c r="S17" s="19" t="n">
        <f aca="false">'Income statement'!S16</f>
        <v>12400.83273268</v>
      </c>
    </row>
    <row r="19" customFormat="false" ht="15" hidden="false" customHeight="false" outlineLevel="0" collapsed="false">
      <c r="A19" s="3" t="s">
        <v>165</v>
      </c>
      <c r="C19" s="38" t="n">
        <f aca="false">C7+C8+C9-C11-C12-C13-C14-C15-C16-C17</f>
        <v>-250</v>
      </c>
      <c r="D19" s="38" t="n">
        <f aca="false">D7+D8+D9-D11-D12-D13-D14-D15-D16-D17</f>
        <v>-3854.15</v>
      </c>
      <c r="E19" s="38" t="n">
        <f aca="false">E7+E8+E9-E11-E12-E13-E14-E15-E16-E17</f>
        <v>-3655.30625</v>
      </c>
      <c r="F19" s="38" t="n">
        <f aca="false">F7+F8+F9-F11-F12-F13-F14-F15-F16-F17</f>
        <v>-5971.3925</v>
      </c>
      <c r="G19" s="38" t="n">
        <f aca="false">G7+G8+G9-G11-G12-G13-G14-G15-G16-G17</f>
        <v>-2174.33875</v>
      </c>
      <c r="H19" s="38" t="n">
        <f aca="false">H7+H8+H9-H11-H12-H13-H14-H15-H16-H17</f>
        <v>-909.905</v>
      </c>
      <c r="I19" s="38" t="n">
        <f aca="false">I7+I8+I9-I11-I12-I13-I14-I15-I16-I17</f>
        <v>-1876.33125</v>
      </c>
      <c r="J19" s="38" t="n">
        <f aca="false">J7+J8+J9-J11-J12-J13-J14-J15-J16-J17</f>
        <v>-549.067500000001</v>
      </c>
      <c r="K19" s="38" t="n">
        <f aca="false">K7+K8+K9-K11-K12-K13-K14-K15-K16-K17</f>
        <v>-108.663750000002</v>
      </c>
      <c r="L19" s="38" t="n">
        <f aca="false">L7+L8+L9-L11-L12-L13-L14-L15-L16-L17</f>
        <v>1281.43</v>
      </c>
      <c r="M19" s="38" t="n">
        <f aca="false">M7+M8+M9-M11-M12-M13-M14-M15-M16-M17</f>
        <v>1784.66375</v>
      </c>
      <c r="N19" s="38" t="n">
        <f aca="false">N7+N8+N9-N11-N12-N13-N14-N15-N16-N17</f>
        <v>3237.5875</v>
      </c>
      <c r="O19" s="38" t="n">
        <f aca="false">SUM(C19:N19)</f>
        <v>-13045.47375</v>
      </c>
      <c r="P19" s="38" t="n">
        <f aca="false">P7+P8+P9-P11-P12-P13-P14-P15-P16-P17</f>
        <v>13799.40641</v>
      </c>
      <c r="Q19" s="38" t="n">
        <f aca="false">Q7+Q8+Q9-Q11-Q12-Q13-Q14-Q15-Q16-Q17</f>
        <v>28441.620725</v>
      </c>
      <c r="R19" s="38" t="n">
        <f aca="false">R7+R8+R9-R11-R12-R13-R14-R15-R16-R17</f>
        <v>40306.9037885</v>
      </c>
      <c r="S19" s="38" t="n">
        <f aca="false">S7+S8+S9-S11-S12-S13-S14-S15-S16-S17</f>
        <v>50704.91837532</v>
      </c>
    </row>
    <row r="20" customFormat="false" ht="15" hidden="false" customHeight="false" outlineLevel="0" collapsed="false">
      <c r="A20" s="32" t="s">
        <v>50</v>
      </c>
      <c r="C20" s="15" t="n">
        <f aca="false">C5+C19</f>
        <v>24750</v>
      </c>
      <c r="D20" s="15" t="n">
        <f aca="false">D5+D19</f>
        <v>20895.85</v>
      </c>
      <c r="E20" s="15" t="n">
        <f aca="false">E5+E19</f>
        <v>17240.54375</v>
      </c>
      <c r="F20" s="15" t="n">
        <f aca="false">F5+F19</f>
        <v>11269.15125</v>
      </c>
      <c r="G20" s="15" t="n">
        <f aca="false">G5+G19</f>
        <v>9094.8125</v>
      </c>
      <c r="H20" s="15" t="n">
        <f aca="false">H5+H19</f>
        <v>8184.9075</v>
      </c>
      <c r="I20" s="15" t="n">
        <f aca="false">I5+I19</f>
        <v>6308.57625</v>
      </c>
      <c r="J20" s="15" t="n">
        <f aca="false">J5+J19</f>
        <v>5759.50874999999</v>
      </c>
      <c r="K20" s="15" t="n">
        <f aca="false">K5+K19</f>
        <v>5650.84499999999</v>
      </c>
      <c r="L20" s="15" t="n">
        <f aca="false">L5+L19</f>
        <v>6932.27499999999</v>
      </c>
      <c r="M20" s="15" t="n">
        <f aca="false">M5+M19</f>
        <v>8716.93874999999</v>
      </c>
      <c r="N20" s="15" t="n">
        <f aca="false">N5+N19</f>
        <v>11954.52625</v>
      </c>
      <c r="O20" s="15" t="n">
        <f aca="false">N20</f>
        <v>11954.52625</v>
      </c>
      <c r="P20" s="15" t="n">
        <f aca="false">P5+P19</f>
        <v>25753.93266</v>
      </c>
      <c r="Q20" s="15" t="n">
        <f aca="false">Q5+Q19</f>
        <v>54195.553385</v>
      </c>
      <c r="R20" s="15" t="n">
        <f aca="false">R5+R19</f>
        <v>94502.4571735</v>
      </c>
      <c r="S20" s="15" t="n">
        <f aca="false">S5+S19</f>
        <v>145207.37554882</v>
      </c>
    </row>
    <row r="22" customFormat="false" ht="15" hidden="false" customHeight="false" outlineLevel="0" collapsed="false">
      <c r="A22" s="21" t="s">
        <v>166</v>
      </c>
      <c r="C22" s="38" t="n">
        <f aca="false">MIN(C20:N20)</f>
        <v>5650.84499999999</v>
      </c>
    </row>
    <row r="23" customFormat="false" ht="15" hidden="false" customHeight="false" outlineLevel="0" collapsed="false">
      <c r="A23" s="11" t="s">
        <v>167</v>
      </c>
    </row>
    <row r="25" customFormat="false" ht="15" hidden="false" customHeight="false" outlineLevel="0" collapsed="false">
      <c r="A25" s="11" t="s">
        <v>168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4"/>
    <col collapsed="false" customWidth="true" hidden="false" outlineLevel="0" max="4" min="2" style="0" width="14"/>
    <col collapsed="false" customWidth="true" hidden="false" outlineLevel="0" max="19" min="5" style="0" width="12"/>
  </cols>
  <sheetData>
    <row r="1" customFormat="false" ht="24" hidden="false" customHeight="true" outlineLevel="0" collapsed="false">
      <c r="A1" s="13" t="s">
        <v>19</v>
      </c>
    </row>
    <row r="2" customFormat="false" ht="15" hidden="false" customHeight="false" outlineLevel="0" collapsed="false">
      <c r="A2" s="14" t="s">
        <v>169</v>
      </c>
    </row>
    <row r="4" customFormat="false" ht="15" hidden="false" customHeight="false" outlineLevel="0" collapsed="false">
      <c r="C4" s="29" t="n">
        <f aca="false">EDATE(StartMonth,0)</f>
        <v>46388</v>
      </c>
      <c r="D4" s="29" t="n">
        <f aca="false">EDATE(StartMonth,1)</f>
        <v>46419</v>
      </c>
      <c r="E4" s="29" t="n">
        <f aca="false">EDATE(StartMonth,2)</f>
        <v>46447</v>
      </c>
      <c r="F4" s="29" t="n">
        <f aca="false">EDATE(StartMonth,3)</f>
        <v>46478</v>
      </c>
      <c r="G4" s="29" t="n">
        <f aca="false">EDATE(StartMonth,4)</f>
        <v>46508</v>
      </c>
      <c r="H4" s="29" t="n">
        <f aca="false">EDATE(StartMonth,5)</f>
        <v>46539</v>
      </c>
      <c r="I4" s="29" t="n">
        <f aca="false">EDATE(StartMonth,6)</f>
        <v>46569</v>
      </c>
      <c r="J4" s="29" t="n">
        <f aca="false">EDATE(StartMonth,7)</f>
        <v>46600</v>
      </c>
      <c r="K4" s="29" t="n">
        <f aca="false">EDATE(StartMonth,8)</f>
        <v>46631</v>
      </c>
      <c r="L4" s="29" t="n">
        <f aca="false">EDATE(StartMonth,9)</f>
        <v>46661</v>
      </c>
      <c r="M4" s="29" t="n">
        <f aca="false">EDATE(StartMonth,10)</f>
        <v>46692</v>
      </c>
      <c r="N4" s="29" t="n">
        <f aca="false">EDATE(StartMonth,11)</f>
        <v>46722</v>
      </c>
      <c r="O4" s="18" t="s">
        <v>42</v>
      </c>
      <c r="P4" s="18" t="s">
        <v>43</v>
      </c>
      <c r="Q4" s="18" t="s">
        <v>44</v>
      </c>
      <c r="R4" s="18" t="s">
        <v>45</v>
      </c>
      <c r="S4" s="18" t="s">
        <v>46</v>
      </c>
    </row>
    <row r="5" customFormat="false" ht="15" hidden="false" customHeight="false" outlineLevel="0" collapsed="false">
      <c r="A5" s="6" t="s">
        <v>170</v>
      </c>
      <c r="C5" s="19" t="n">
        <f aca="false">'Cash flow'!C20</f>
        <v>24750</v>
      </c>
      <c r="D5" s="19" t="n">
        <f aca="false">'Cash flow'!D20</f>
        <v>20895.85</v>
      </c>
      <c r="E5" s="19" t="n">
        <f aca="false">'Cash flow'!E20</f>
        <v>17240.54375</v>
      </c>
      <c r="F5" s="19" t="n">
        <f aca="false">'Cash flow'!F20</f>
        <v>11269.15125</v>
      </c>
      <c r="G5" s="19" t="n">
        <f aca="false">'Cash flow'!G20</f>
        <v>9094.8125</v>
      </c>
      <c r="H5" s="19" t="n">
        <f aca="false">'Cash flow'!H20</f>
        <v>8184.9075</v>
      </c>
      <c r="I5" s="19" t="n">
        <f aca="false">'Cash flow'!I20</f>
        <v>6308.57625</v>
      </c>
      <c r="J5" s="19" t="n">
        <f aca="false">'Cash flow'!J20</f>
        <v>5759.50874999999</v>
      </c>
      <c r="K5" s="19" t="n">
        <f aca="false">'Cash flow'!K20</f>
        <v>5650.84499999999</v>
      </c>
      <c r="L5" s="19" t="n">
        <f aca="false">'Cash flow'!L20</f>
        <v>6932.27499999999</v>
      </c>
      <c r="M5" s="19" t="n">
        <f aca="false">'Cash flow'!M20</f>
        <v>8716.93874999999</v>
      </c>
      <c r="N5" s="19" t="n">
        <f aca="false">'Cash flow'!N20</f>
        <v>11954.52625</v>
      </c>
      <c r="O5" s="19" t="n">
        <f aca="false">'Cash flow'!O20</f>
        <v>11954.52625</v>
      </c>
      <c r="P5" s="19" t="n">
        <f aca="false">'Cash flow'!P20</f>
        <v>25753.93266</v>
      </c>
      <c r="Q5" s="19" t="n">
        <f aca="false">'Cash flow'!Q20</f>
        <v>54195.553385</v>
      </c>
      <c r="R5" s="19" t="n">
        <f aca="false">'Cash flow'!R20</f>
        <v>94502.4571735</v>
      </c>
      <c r="S5" s="19" t="n">
        <f aca="false">'Cash flow'!S20</f>
        <v>145207.37554882</v>
      </c>
    </row>
    <row r="6" customFormat="false" ht="15" hidden="false" customHeight="false" outlineLevel="0" collapsed="false">
      <c r="A6" s="6" t="s">
        <v>171</v>
      </c>
      <c r="C6" s="19" t="n">
        <f aca="false">SUM('Income statement'!$C$5:C5)-SUM('Cash flow'!$C$7:C7)</f>
        <v>2985</v>
      </c>
      <c r="D6" s="19" t="n">
        <f aca="false">SUM('Income statement'!$C$5:D5)-SUM('Cash flow'!$C$7:D7)</f>
        <v>3635</v>
      </c>
      <c r="E6" s="19" t="n">
        <f aca="false">SUM('Income statement'!$C$5:E5)-SUM('Cash flow'!$C$7:E7)</f>
        <v>5572</v>
      </c>
      <c r="F6" s="19" t="n">
        <f aca="false">SUM('Income statement'!$C$5:F5)-SUM('Cash flow'!$C$7:F7)</f>
        <v>6383</v>
      </c>
      <c r="G6" s="19" t="n">
        <f aca="false">SUM('Income statement'!$C$5:G5)-SUM('Cash flow'!$C$7:G7)</f>
        <v>8452</v>
      </c>
      <c r="H6" s="19" t="n">
        <f aca="false">SUM('Income statement'!$C$5:H5)-SUM('Cash flow'!$C$7:H7)</f>
        <v>9395</v>
      </c>
      <c r="I6" s="19" t="n">
        <f aca="false">SUM('Income statement'!$C$5:I5)-SUM('Cash flow'!$C$7:I7)</f>
        <v>11567</v>
      </c>
      <c r="J6" s="19" t="n">
        <f aca="false">SUM('Income statement'!$C$5:J5)-SUM('Cash flow'!$C$7:J7)</f>
        <v>12613</v>
      </c>
      <c r="K6" s="19" t="n">
        <f aca="false">SUM('Income statement'!$C$5:K5)-SUM('Cash flow'!$C$7:K7)</f>
        <v>14888</v>
      </c>
      <c r="L6" s="19" t="n">
        <f aca="false">SUM('Income statement'!$C$5:L5)-SUM('Cash flow'!$C$7:L7)</f>
        <v>16037</v>
      </c>
      <c r="M6" s="19" t="n">
        <f aca="false">SUM('Income statement'!$C$5:M5)-SUM('Cash flow'!$C$7:M7)</f>
        <v>18415</v>
      </c>
      <c r="N6" s="19" t="n">
        <f aca="false">SUM('Income statement'!$C$5:N5)-SUM('Cash flow'!$C$7:N7)</f>
        <v>19622</v>
      </c>
      <c r="O6" s="19" t="n">
        <f aca="false">SUM('Income statement'!$C$5:$N$5)-SUM('Cash flow'!$C$7:$N$7)</f>
        <v>19622</v>
      </c>
      <c r="P6" s="19" t="n">
        <f aca="false">(SUM('Income statement'!$C$5:$N$5)+SUM('Income statement'!$P$5:P5))-(SUM('Cash flow'!$C$7:$N$7)+SUM('Cash flow'!$P$7:P7))</f>
        <v>19622</v>
      </c>
      <c r="Q6" s="19" t="n">
        <f aca="false">(SUM('Income statement'!$C$5:$N$5)+SUM('Income statement'!$P$5:Q5))-(SUM('Cash flow'!$C$7:$N$7)+SUM('Cash flow'!$P$7:Q7))</f>
        <v>19622</v>
      </c>
      <c r="R6" s="19" t="n">
        <f aca="false">(SUM('Income statement'!$C$5:$N$5)+SUM('Income statement'!$P$5:R5))-(SUM('Cash flow'!$C$7:$N$7)+SUM('Cash flow'!$P$7:R7))</f>
        <v>19622</v>
      </c>
      <c r="S6" s="19" t="n">
        <f aca="false">(SUM('Income statement'!$C$5:$N$5)+SUM('Income statement'!$P$5:S5))-(SUM('Cash flow'!$C$7:$N$7)+SUM('Cash flow'!$P$7:S7))</f>
        <v>19622</v>
      </c>
    </row>
    <row r="7" customFormat="false" ht="15" hidden="false" customHeight="false" outlineLevel="0" collapsed="false">
      <c r="A7" s="6" t="s">
        <v>172</v>
      </c>
      <c r="C7" s="19" t="n">
        <f aca="false">SUM(Capital!$F$10:F10)</f>
        <v>20000</v>
      </c>
      <c r="D7" s="19" t="n">
        <f aca="false">SUM(Capital!$F$10:G10)</f>
        <v>20000</v>
      </c>
      <c r="E7" s="19" t="n">
        <f aca="false">SUM(Capital!$F$10:H10)</f>
        <v>20000</v>
      </c>
      <c r="F7" s="19" t="n">
        <f aca="false">SUM(Capital!$F$10:I10)</f>
        <v>23500</v>
      </c>
      <c r="G7" s="19" t="n">
        <f aca="false">SUM(Capital!$F$10:J10)</f>
        <v>23500</v>
      </c>
      <c r="H7" s="19" t="n">
        <f aca="false">SUM(Capital!$F$10:K10)</f>
        <v>23500</v>
      </c>
      <c r="I7" s="19" t="n">
        <f aca="false">SUM(Capital!$F$10:L10)</f>
        <v>23500</v>
      </c>
      <c r="J7" s="19" t="n">
        <f aca="false">SUM(Capital!$F$10:M10)</f>
        <v>23500</v>
      </c>
      <c r="K7" s="19" t="n">
        <f aca="false">SUM(Capital!$F$10:N10)</f>
        <v>23500</v>
      </c>
      <c r="L7" s="19" t="n">
        <f aca="false">SUM(Capital!$F$10:O10)</f>
        <v>23500</v>
      </c>
      <c r="M7" s="19" t="n">
        <f aca="false">SUM(Capital!$F$10:P10)</f>
        <v>23500</v>
      </c>
      <c r="N7" s="19" t="n">
        <f aca="false">SUM(Capital!$F$10:Q10)</f>
        <v>23500</v>
      </c>
      <c r="O7" s="19" t="n">
        <f aca="false">SUM(Capital!$F$10:$Q$10)</f>
        <v>23500</v>
      </c>
      <c r="P7" s="19" t="n">
        <f aca="false">(SUM(Capital!$F$10:$Q$10)+SUM(Capital!$S$10:S10))</f>
        <v>23500</v>
      </c>
      <c r="Q7" s="19" t="n">
        <f aca="false">(SUM(Capital!$F$10:$Q$10)+SUM(Capital!$S$10:T10))</f>
        <v>23500</v>
      </c>
      <c r="R7" s="19" t="n">
        <f aca="false">(SUM(Capital!$F$10:$Q$10)+SUM(Capital!$S$10:U10))</f>
        <v>23500</v>
      </c>
      <c r="S7" s="19" t="n">
        <f aca="false">(SUM(Capital!$F$10:$Q$10)+SUM(Capital!$S$10:V10))</f>
        <v>23500</v>
      </c>
    </row>
    <row r="8" customFormat="false" ht="15" hidden="false" customHeight="false" outlineLevel="0" collapsed="false">
      <c r="A8" s="6" t="s">
        <v>173</v>
      </c>
      <c r="C8" s="19" t="n">
        <f aca="false">-SUM(Capital!$F$9:F9)</f>
        <v>-266.666666666667</v>
      </c>
      <c r="D8" s="19" t="n">
        <f aca="false">-SUM(Capital!$F$9:G9)</f>
        <v>-533.333333333333</v>
      </c>
      <c r="E8" s="19" t="n">
        <f aca="false">-SUM(Capital!$F$9:H9)</f>
        <v>-800</v>
      </c>
      <c r="F8" s="19" t="n">
        <f aca="false">-SUM(Capital!$F$9:I9)</f>
        <v>-1163.88888888889</v>
      </c>
      <c r="G8" s="19" t="n">
        <f aca="false">-SUM(Capital!$F$9:J9)</f>
        <v>-1527.77777777778</v>
      </c>
      <c r="H8" s="19" t="n">
        <f aca="false">-SUM(Capital!$F$9:K9)</f>
        <v>-1891.66666666667</v>
      </c>
      <c r="I8" s="19" t="n">
        <f aca="false">-SUM(Capital!$F$9:L9)</f>
        <v>-2255.55555555556</v>
      </c>
      <c r="J8" s="19" t="n">
        <f aca="false">-SUM(Capital!$F$9:M9)</f>
        <v>-2619.44444444444</v>
      </c>
      <c r="K8" s="19" t="n">
        <f aca="false">-SUM(Capital!$F$9:N9)</f>
        <v>-2983.33333333333</v>
      </c>
      <c r="L8" s="19" t="n">
        <f aca="false">-SUM(Capital!$F$9:O9)</f>
        <v>-3347.22222222222</v>
      </c>
      <c r="M8" s="19" t="n">
        <f aca="false">-SUM(Capital!$F$9:P9)</f>
        <v>-3711.11111111111</v>
      </c>
      <c r="N8" s="19" t="n">
        <f aca="false">-SUM(Capital!$F$9:Q9)</f>
        <v>-4075</v>
      </c>
      <c r="O8" s="19" t="n">
        <f aca="false">-SUM(Capital!$F$9:$Q$9)</f>
        <v>-4075</v>
      </c>
      <c r="P8" s="19" t="n">
        <f aca="false">-(SUM(Capital!$F$9:$Q$9)+SUM(Capital!$S$9:S9))</f>
        <v>-8441.66666666667</v>
      </c>
      <c r="Q8" s="19" t="n">
        <f aca="false">-(SUM(Capital!$F$9:$Q$9)+SUM(Capital!$S$9:T9))</f>
        <v>-12808.3333333333</v>
      </c>
      <c r="R8" s="19" t="n">
        <f aca="false">-(SUM(Capital!$F$9:$Q$9)+SUM(Capital!$S$9:U9))</f>
        <v>-17175</v>
      </c>
      <c r="S8" s="19" t="n">
        <f aca="false">-(SUM(Capital!$F$9:$Q$9)+SUM(Capital!$S$9:V9))</f>
        <v>-21541.6666666667</v>
      </c>
    </row>
    <row r="9" customFormat="false" ht="15" hidden="false" customHeight="false" outlineLevel="0" collapsed="false">
      <c r="A9" s="3" t="s">
        <v>174</v>
      </c>
      <c r="C9" s="38" t="n">
        <f aca="false">C5+C6+C7+C8</f>
        <v>47468.3333333333</v>
      </c>
      <c r="D9" s="38" t="n">
        <f aca="false">D5+D6+D7+D8</f>
        <v>43997.5166666667</v>
      </c>
      <c r="E9" s="38" t="n">
        <f aca="false">E5+E6+E7+E8</f>
        <v>42012.54375</v>
      </c>
      <c r="F9" s="38" t="n">
        <f aca="false">F5+F6+F7+F8</f>
        <v>39988.2623611111</v>
      </c>
      <c r="G9" s="38" t="n">
        <f aca="false">G5+G6+G7+G8</f>
        <v>39519.0347222222</v>
      </c>
      <c r="H9" s="38" t="n">
        <f aca="false">H5+H6+H7+H8</f>
        <v>39188.2408333333</v>
      </c>
      <c r="I9" s="38" t="n">
        <f aca="false">I5+I6+I7+I8</f>
        <v>39120.0206944444</v>
      </c>
      <c r="J9" s="38" t="n">
        <f aca="false">J5+J6+J7+J8</f>
        <v>39253.0643055556</v>
      </c>
      <c r="K9" s="38" t="n">
        <f aca="false">K5+K6+K7+K8</f>
        <v>41055.5116666667</v>
      </c>
      <c r="L9" s="38" t="n">
        <f aca="false">L5+L6+L7+L8</f>
        <v>43122.0527777778</v>
      </c>
      <c r="M9" s="38" t="n">
        <f aca="false">M5+M6+M7+M8</f>
        <v>46920.8276388889</v>
      </c>
      <c r="N9" s="38" t="n">
        <f aca="false">N5+N6+N7+N8</f>
        <v>51001.52625</v>
      </c>
      <c r="O9" s="38" t="n">
        <f aca="false">O5+O6+O7+O8</f>
        <v>51001.52625</v>
      </c>
      <c r="P9" s="38" t="n">
        <f aca="false">P5+P6+P7+P8</f>
        <v>60434.2659933333</v>
      </c>
      <c r="Q9" s="38" t="n">
        <f aca="false">Q5+Q6+Q7+Q8</f>
        <v>84509.2200516667</v>
      </c>
      <c r="R9" s="38" t="n">
        <f aca="false">R5+R6+R7+R8</f>
        <v>120449.4571735</v>
      </c>
      <c r="S9" s="38" t="n">
        <f aca="false">S5+S6+S7+S8</f>
        <v>166787.708882153</v>
      </c>
    </row>
    <row r="11" customFormat="false" ht="15" hidden="false" customHeight="false" outlineLevel="0" collapsed="false">
      <c r="A11" s="6" t="s">
        <v>175</v>
      </c>
      <c r="C11" s="19" t="n">
        <f aca="false">SUM('Income statement'!$C$6:C6)-SUM('Cash flow'!$C$11:C11)</f>
        <v>1164.15</v>
      </c>
      <c r="D11" s="19" t="n">
        <f aca="false">SUM('Income statement'!$C$6:D6)-SUM('Cash flow'!$C$11:D11)</f>
        <v>1417.65</v>
      </c>
      <c r="E11" s="19" t="n">
        <f aca="false">SUM('Income statement'!$C$6:E6)-SUM('Cash flow'!$C$11:E11)</f>
        <v>2173.08</v>
      </c>
      <c r="F11" s="19" t="n">
        <f aca="false">SUM('Income statement'!$C$6:F6)-SUM('Cash flow'!$C$11:F11)</f>
        <v>2489.37</v>
      </c>
      <c r="G11" s="19" t="n">
        <f aca="false">SUM('Income statement'!$C$6:G6)-SUM('Cash flow'!$C$11:G11)</f>
        <v>3296.28</v>
      </c>
      <c r="H11" s="19" t="n">
        <f aca="false">SUM('Income statement'!$C$6:H6)-SUM('Cash flow'!$C$11:H11)</f>
        <v>3664.05</v>
      </c>
      <c r="I11" s="19" t="n">
        <f aca="false">SUM('Income statement'!$C$6:I6)-SUM('Cash flow'!$C$11:I11)</f>
        <v>4511.13</v>
      </c>
      <c r="J11" s="19" t="n">
        <f aca="false">SUM('Income statement'!$C$6:J6)-SUM('Cash flow'!$C$11:J11)</f>
        <v>4919.07</v>
      </c>
      <c r="K11" s="19" t="n">
        <f aca="false">SUM('Income statement'!$C$6:K6)-SUM('Cash flow'!$C$11:K11)</f>
        <v>5806.32</v>
      </c>
      <c r="L11" s="19" t="n">
        <f aca="false">SUM('Income statement'!$C$6:L6)-SUM('Cash flow'!$C$11:L11)</f>
        <v>6254.43</v>
      </c>
      <c r="M11" s="19" t="n">
        <f aca="false">SUM('Income statement'!$C$6:M6)-SUM('Cash flow'!$C$11:M11)</f>
        <v>7181.85</v>
      </c>
      <c r="N11" s="19" t="n">
        <f aca="false">SUM('Income statement'!$C$6:N6)-SUM('Cash flow'!$C$11:N11)</f>
        <v>7652.58000000001</v>
      </c>
      <c r="O11" s="19" t="n">
        <f aca="false">SUM('Income statement'!$C$6:$N$6)-SUM('Cash flow'!$C$11:$N$11)</f>
        <v>7652.58000000001</v>
      </c>
      <c r="P11" s="19" t="n">
        <f aca="false">(SUM('Income statement'!$C$6:$N$6)+SUM('Income statement'!$P$6:P6))-(SUM('Cash flow'!$C$11:$N$11)+SUM('Cash flow'!$P$11:P11))</f>
        <v>7652.58000000002</v>
      </c>
      <c r="Q11" s="19" t="n">
        <f aca="false">(SUM('Income statement'!$C$6:$N$6)+SUM('Income statement'!$P$6:Q6))-(SUM('Cash flow'!$C$11:$N$11)+SUM('Cash flow'!$P$11:Q11))</f>
        <v>7652.57999999999</v>
      </c>
      <c r="R11" s="19" t="n">
        <f aca="false">(SUM('Income statement'!$C$6:$N$6)+SUM('Income statement'!$P$6:R6))-(SUM('Cash flow'!$C$11:$N$11)+SUM('Cash flow'!$P$11:R11))</f>
        <v>7652.58000000002</v>
      </c>
      <c r="S11" s="19" t="n">
        <f aca="false">(SUM('Income statement'!$C$6:$N$6)+SUM('Income statement'!$P$6:S6))-(SUM('Cash flow'!$C$11:$N$11)+SUM('Cash flow'!$P$11:S11))</f>
        <v>7652.58000000002</v>
      </c>
    </row>
    <row r="12" customFormat="false" ht="15" hidden="false" customHeight="false" outlineLevel="0" collapsed="false">
      <c r="A12" s="6" t="s">
        <v>51</v>
      </c>
      <c r="C12" s="19" t="n">
        <f aca="false">Capital!F29</f>
        <v>15000</v>
      </c>
      <c r="D12" s="19" t="n">
        <f aca="false">Capital!G29</f>
        <v>14687.5</v>
      </c>
      <c r="E12" s="19" t="n">
        <f aca="false">Capital!H29</f>
        <v>14375</v>
      </c>
      <c r="F12" s="19" t="n">
        <f aca="false">Capital!I29</f>
        <v>14062.5</v>
      </c>
      <c r="G12" s="19" t="n">
        <f aca="false">Capital!J29</f>
        <v>13750</v>
      </c>
      <c r="H12" s="19" t="n">
        <f aca="false">Capital!K29</f>
        <v>13437.5</v>
      </c>
      <c r="I12" s="19" t="n">
        <f aca="false">Capital!L29</f>
        <v>13125</v>
      </c>
      <c r="J12" s="19" t="n">
        <f aca="false">Capital!M29</f>
        <v>12812.5</v>
      </c>
      <c r="K12" s="19" t="n">
        <f aca="false">Capital!N29</f>
        <v>12500</v>
      </c>
      <c r="L12" s="19" t="n">
        <f aca="false">Capital!O29</f>
        <v>12187.5</v>
      </c>
      <c r="M12" s="19" t="n">
        <f aca="false">Capital!P29</f>
        <v>11875</v>
      </c>
      <c r="N12" s="19" t="n">
        <f aca="false">Capital!Q29</f>
        <v>11562.5</v>
      </c>
      <c r="O12" s="19" t="n">
        <f aca="false">Capital!R29</f>
        <v>11562.5</v>
      </c>
      <c r="P12" s="19" t="n">
        <f aca="false">Capital!S29</f>
        <v>7812.5</v>
      </c>
      <c r="Q12" s="19" t="n">
        <f aca="false">Capital!T29</f>
        <v>4062.5</v>
      </c>
      <c r="R12" s="19" t="n">
        <f aca="false">Capital!U29</f>
        <v>312.5</v>
      </c>
      <c r="S12" s="19" t="n">
        <f aca="false">Capital!V29</f>
        <v>0</v>
      </c>
    </row>
    <row r="13" customFormat="false" ht="15" hidden="false" customHeight="false" outlineLevel="0" collapsed="false">
      <c r="A13" s="3" t="s">
        <v>176</v>
      </c>
      <c r="C13" s="38" t="n">
        <f aca="false">C11+C12</f>
        <v>16164.15</v>
      </c>
      <c r="D13" s="38" t="n">
        <f aca="false">D11+D12</f>
        <v>16105.15</v>
      </c>
      <c r="E13" s="38" t="n">
        <f aca="false">E11+E12</f>
        <v>16548.08</v>
      </c>
      <c r="F13" s="38" t="n">
        <f aca="false">F11+F12</f>
        <v>16551.87</v>
      </c>
      <c r="G13" s="38" t="n">
        <f aca="false">G11+G12</f>
        <v>17046.28</v>
      </c>
      <c r="H13" s="38" t="n">
        <f aca="false">H11+H12</f>
        <v>17101.55</v>
      </c>
      <c r="I13" s="38" t="n">
        <f aca="false">I11+I12</f>
        <v>17636.13</v>
      </c>
      <c r="J13" s="38" t="n">
        <f aca="false">J11+J12</f>
        <v>17731.57</v>
      </c>
      <c r="K13" s="38" t="n">
        <f aca="false">K11+K12</f>
        <v>18306.32</v>
      </c>
      <c r="L13" s="38" t="n">
        <f aca="false">L11+L12</f>
        <v>18441.93</v>
      </c>
      <c r="M13" s="38" t="n">
        <f aca="false">M11+M12</f>
        <v>19056.85</v>
      </c>
      <c r="N13" s="38" t="n">
        <f aca="false">N11+N12</f>
        <v>19215.08</v>
      </c>
      <c r="O13" s="38" t="n">
        <f aca="false">O11+O12</f>
        <v>19215.08</v>
      </c>
      <c r="P13" s="38" t="n">
        <f aca="false">P11+P12</f>
        <v>15465.08</v>
      </c>
      <c r="Q13" s="38" t="n">
        <f aca="false">Q11+Q12</f>
        <v>11715.08</v>
      </c>
      <c r="R13" s="38" t="n">
        <f aca="false">R11+R12</f>
        <v>7965.08000000002</v>
      </c>
      <c r="S13" s="38" t="n">
        <f aca="false">S11+S12</f>
        <v>7652.58000000002</v>
      </c>
    </row>
    <row r="15" customFormat="false" ht="15" hidden="false" customHeight="false" outlineLevel="0" collapsed="false">
      <c r="A15" s="6" t="s">
        <v>140</v>
      </c>
      <c r="C15" s="19" t="n">
        <f aca="false">OpeningCash+SUM(Capital!$F$35:F35)</f>
        <v>35000</v>
      </c>
      <c r="D15" s="19" t="n">
        <f aca="false">OpeningCash+SUM(Capital!$F$35:G35)</f>
        <v>35000</v>
      </c>
      <c r="E15" s="19" t="n">
        <f aca="false">OpeningCash+SUM(Capital!$F$35:H35)</f>
        <v>35000</v>
      </c>
      <c r="F15" s="19" t="n">
        <f aca="false">OpeningCash+SUM(Capital!$F$35:I35)</f>
        <v>35000</v>
      </c>
      <c r="G15" s="19" t="n">
        <f aca="false">OpeningCash+SUM(Capital!$F$35:J35)</f>
        <v>35000</v>
      </c>
      <c r="H15" s="19" t="n">
        <f aca="false">OpeningCash+SUM(Capital!$F$35:K35)</f>
        <v>35000</v>
      </c>
      <c r="I15" s="19" t="n">
        <f aca="false">OpeningCash+SUM(Capital!$F$35:L35)</f>
        <v>35000</v>
      </c>
      <c r="J15" s="19" t="n">
        <f aca="false">OpeningCash+SUM(Capital!$F$35:M35)</f>
        <v>35000</v>
      </c>
      <c r="K15" s="19" t="n">
        <f aca="false">OpeningCash+SUM(Capital!$F$35:N35)</f>
        <v>35000</v>
      </c>
      <c r="L15" s="19" t="n">
        <f aca="false">OpeningCash+SUM(Capital!$F$35:O35)</f>
        <v>35000</v>
      </c>
      <c r="M15" s="19" t="n">
        <f aca="false">OpeningCash+SUM(Capital!$F$35:P35)</f>
        <v>35000</v>
      </c>
      <c r="N15" s="19" t="n">
        <f aca="false">OpeningCash+SUM(Capital!$F$35:Q35)</f>
        <v>35000</v>
      </c>
      <c r="O15" s="19" t="n">
        <f aca="false">OpeningCash+SUM(Capital!$F$35:$Q$35)</f>
        <v>35000</v>
      </c>
      <c r="P15" s="19" t="n">
        <f aca="false">OpeningCash+(SUM(Capital!$F$35:$Q$35)+SUM(Capital!$S$35:S35))</f>
        <v>35000</v>
      </c>
      <c r="Q15" s="19" t="n">
        <f aca="false">OpeningCash+(SUM(Capital!$F$35:$Q$35)+SUM(Capital!$S$35:T35))</f>
        <v>35000</v>
      </c>
      <c r="R15" s="19" t="n">
        <f aca="false">OpeningCash+(SUM(Capital!$F$35:$Q$35)+SUM(Capital!$S$35:U35))</f>
        <v>35000</v>
      </c>
      <c r="S15" s="19" t="n">
        <f aca="false">OpeningCash+(SUM(Capital!$F$35:$Q$35)+SUM(Capital!$S$35:V35))</f>
        <v>35000</v>
      </c>
    </row>
    <row r="16" customFormat="false" ht="15" hidden="false" customHeight="false" outlineLevel="0" collapsed="false">
      <c r="A16" s="6" t="s">
        <v>177</v>
      </c>
      <c r="C16" s="19" t="n">
        <f aca="false">SUM('Income statement'!$C$17:C17)</f>
        <v>-3695.81666666667</v>
      </c>
      <c r="D16" s="19" t="n">
        <f aca="false">SUM('Income statement'!$C$17:D17)</f>
        <v>-7107.63333333333</v>
      </c>
      <c r="E16" s="19" t="n">
        <f aca="false">SUM('Income statement'!$C$17:E17)</f>
        <v>-9535.53625</v>
      </c>
      <c r="F16" s="19" t="n">
        <f aca="false">SUM('Income statement'!$C$17:F17)</f>
        <v>-11563.6076388889</v>
      </c>
      <c r="G16" s="19" t="n">
        <f aca="false">SUM('Income statement'!$C$17:G17)</f>
        <v>-12527.2452777778</v>
      </c>
      <c r="H16" s="19" t="n">
        <f aca="false">SUM('Income statement'!$C$17:H17)</f>
        <v>-12913.3091666667</v>
      </c>
      <c r="I16" s="19" t="n">
        <f aca="false">SUM('Income statement'!$C$17:I17)</f>
        <v>-13516.1093055556</v>
      </c>
      <c r="J16" s="19" t="n">
        <f aca="false">SUM('Income statement'!$C$17:J17)</f>
        <v>-13478.5056944445</v>
      </c>
      <c r="K16" s="19" t="n">
        <f aca="false">SUM('Income statement'!$C$17:K17)</f>
        <v>-12250.8083333333</v>
      </c>
      <c r="L16" s="19" t="n">
        <f aca="false">SUM('Income statement'!$C$17:L17)</f>
        <v>-10319.8772222222</v>
      </c>
      <c r="M16" s="19" t="n">
        <f aca="false">SUM('Income statement'!$C$17:M17)</f>
        <v>-7136.02236111112</v>
      </c>
      <c r="N16" s="19" t="n">
        <f aca="false">SUM('Income statement'!$C$17:N17)</f>
        <v>-3213.55375000001</v>
      </c>
      <c r="O16" s="19" t="n">
        <f aca="false">SUM('Income statement'!$C$17:$N$17)</f>
        <v>-3213.55375000001</v>
      </c>
      <c r="P16" s="19" t="n">
        <f aca="false">(SUM('Income statement'!$C$17:$N$17)+SUM('Income statement'!$P$17:P17))</f>
        <v>9969.18599333333</v>
      </c>
      <c r="Q16" s="19" t="n">
        <f aca="false">(SUM('Income statement'!$C$17:$N$17)+SUM('Income statement'!$P$17:Q17))</f>
        <v>37794.1400516667</v>
      </c>
      <c r="R16" s="19" t="n">
        <f aca="false">(SUM('Income statement'!$C$17:$N$17)+SUM('Income statement'!$P$17:R17))</f>
        <v>77484.3771735</v>
      </c>
      <c r="S16" s="19" t="n">
        <f aca="false">(SUM('Income statement'!$C$17:$N$17)+SUM('Income statement'!$P$17:S17))</f>
        <v>124135.128882153</v>
      </c>
    </row>
    <row r="17" customFormat="false" ht="15" hidden="false" customHeight="false" outlineLevel="0" collapsed="false">
      <c r="A17" s="3" t="s">
        <v>178</v>
      </c>
      <c r="C17" s="38" t="n">
        <f aca="false">C15+C16</f>
        <v>31304.1833333333</v>
      </c>
      <c r="D17" s="38" t="n">
        <f aca="false">D15+D16</f>
        <v>27892.3666666667</v>
      </c>
      <c r="E17" s="38" t="n">
        <f aca="false">E15+E16</f>
        <v>25464.46375</v>
      </c>
      <c r="F17" s="38" t="n">
        <f aca="false">F15+F16</f>
        <v>23436.3923611111</v>
      </c>
      <c r="G17" s="38" t="n">
        <f aca="false">G15+G16</f>
        <v>22472.7547222222</v>
      </c>
      <c r="H17" s="38" t="n">
        <f aca="false">H15+H16</f>
        <v>22086.6908333333</v>
      </c>
      <c r="I17" s="38" t="n">
        <f aca="false">I15+I16</f>
        <v>21483.8906944444</v>
      </c>
      <c r="J17" s="38" t="n">
        <f aca="false">J15+J16</f>
        <v>21521.4943055556</v>
      </c>
      <c r="K17" s="38" t="n">
        <f aca="false">K15+K16</f>
        <v>22749.1916666667</v>
      </c>
      <c r="L17" s="38" t="n">
        <f aca="false">L15+L16</f>
        <v>24680.1227777778</v>
      </c>
      <c r="M17" s="38" t="n">
        <f aca="false">M15+M16</f>
        <v>27863.9776388889</v>
      </c>
      <c r="N17" s="38" t="n">
        <f aca="false">N15+N16</f>
        <v>31786.44625</v>
      </c>
      <c r="O17" s="38" t="n">
        <f aca="false">O15+O16</f>
        <v>31786.44625</v>
      </c>
      <c r="P17" s="38" t="n">
        <f aca="false">P15+P16</f>
        <v>44969.1859933333</v>
      </c>
      <c r="Q17" s="38" t="n">
        <f aca="false">Q15+Q16</f>
        <v>72794.1400516667</v>
      </c>
      <c r="R17" s="38" t="n">
        <f aca="false">R15+R16</f>
        <v>112484.3771735</v>
      </c>
      <c r="S17" s="38" t="n">
        <f aca="false">S15+S16</f>
        <v>159135.128882153</v>
      </c>
    </row>
    <row r="19" customFormat="false" ht="15" hidden="false" customHeight="false" outlineLevel="0" collapsed="false">
      <c r="A19" s="3" t="s">
        <v>179</v>
      </c>
      <c r="C19" s="38" t="n">
        <f aca="false">C13+C17</f>
        <v>47468.3333333333</v>
      </c>
      <c r="D19" s="38" t="n">
        <f aca="false">D13+D17</f>
        <v>43997.5166666667</v>
      </c>
      <c r="E19" s="38" t="n">
        <f aca="false">E13+E17</f>
        <v>42012.54375</v>
      </c>
      <c r="F19" s="38" t="n">
        <f aca="false">F13+F17</f>
        <v>39988.2623611111</v>
      </c>
      <c r="G19" s="38" t="n">
        <f aca="false">G13+G17</f>
        <v>39519.0347222222</v>
      </c>
      <c r="H19" s="38" t="n">
        <f aca="false">H13+H17</f>
        <v>39188.2408333333</v>
      </c>
      <c r="I19" s="38" t="n">
        <f aca="false">I13+I17</f>
        <v>39120.0206944444</v>
      </c>
      <c r="J19" s="38" t="n">
        <f aca="false">J13+J17</f>
        <v>39253.0643055556</v>
      </c>
      <c r="K19" s="38" t="n">
        <f aca="false">K13+K17</f>
        <v>41055.5116666667</v>
      </c>
      <c r="L19" s="38" t="n">
        <f aca="false">L13+L17</f>
        <v>43122.0527777778</v>
      </c>
      <c r="M19" s="38" t="n">
        <f aca="false">M13+M17</f>
        <v>46920.8276388889</v>
      </c>
      <c r="N19" s="38" t="n">
        <f aca="false">N13+N17</f>
        <v>51001.52625</v>
      </c>
      <c r="O19" s="38" t="n">
        <f aca="false">O13+O17</f>
        <v>51001.52625</v>
      </c>
      <c r="P19" s="38" t="n">
        <f aca="false">P13+P17</f>
        <v>60434.2659933333</v>
      </c>
      <c r="Q19" s="38" t="n">
        <f aca="false">Q13+Q17</f>
        <v>84509.2200516666</v>
      </c>
      <c r="R19" s="38" t="n">
        <f aca="false">R13+R17</f>
        <v>120449.4571735</v>
      </c>
      <c r="S19" s="38" t="n">
        <f aca="false">S13+S17</f>
        <v>166787.708882153</v>
      </c>
    </row>
    <row r="20" customFormat="false" ht="15" hidden="false" customHeight="false" outlineLevel="0" collapsed="false">
      <c r="A20" s="32" t="s">
        <v>180</v>
      </c>
      <c r="C20" s="15" t="n">
        <f aca="false">ROUND(C9-C19,2)</f>
        <v>0</v>
      </c>
      <c r="D20" s="15" t="n">
        <f aca="false">ROUND(D9-D19,2)</f>
        <v>0</v>
      </c>
      <c r="E20" s="15" t="n">
        <f aca="false">ROUND(E9-E19,2)</f>
        <v>0</v>
      </c>
      <c r="F20" s="15" t="n">
        <f aca="false">ROUND(F9-F19,2)</f>
        <v>0</v>
      </c>
      <c r="G20" s="15" t="n">
        <f aca="false">ROUND(G9-G19,2)</f>
        <v>0</v>
      </c>
      <c r="H20" s="15" t="n">
        <f aca="false">ROUND(H9-H19,2)</f>
        <v>0</v>
      </c>
      <c r="I20" s="15" t="n">
        <f aca="false">ROUND(I9-I19,2)</f>
        <v>0</v>
      </c>
      <c r="J20" s="15" t="n">
        <f aca="false">ROUND(J9-J19,2)</f>
        <v>0</v>
      </c>
      <c r="K20" s="15" t="n">
        <f aca="false">ROUND(K9-K19,2)</f>
        <v>0</v>
      </c>
      <c r="L20" s="15" t="n">
        <f aca="false">ROUND(L9-L19,2)</f>
        <v>0</v>
      </c>
      <c r="M20" s="15" t="n">
        <f aca="false">ROUND(M9-M19,2)</f>
        <v>0</v>
      </c>
      <c r="N20" s="15" t="n">
        <f aca="false">ROUND(N9-N19,2)</f>
        <v>0</v>
      </c>
      <c r="O20" s="15" t="n">
        <f aca="false">ROUND(O9-O19,2)</f>
        <v>0</v>
      </c>
      <c r="P20" s="15" t="n">
        <f aca="false">ROUND(P9-P19,2)</f>
        <v>0</v>
      </c>
      <c r="Q20" s="15" t="n">
        <f aca="false">ROUND(Q9-Q19,2)</f>
        <v>0</v>
      </c>
      <c r="R20" s="15" t="n">
        <f aca="false">ROUND(R9-R19,2)</f>
        <v>0</v>
      </c>
      <c r="S20" s="15" t="n">
        <f aca="false">ROUND(S9-S19,2)</f>
        <v>0</v>
      </c>
    </row>
    <row r="22" customFormat="false" ht="15" hidden="false" customHeight="false" outlineLevel="0" collapsed="false">
      <c r="A22" s="11" t="s">
        <v>181</v>
      </c>
    </row>
    <row r="23" customFormat="false" ht="15" hidden="false" customHeight="false" outlineLevel="0" collapsed="false">
      <c r="A23" s="11" t="s">
        <v>182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453125" defaultRowHeight="15" zeroHeight="false" outlineLevelRow="0" outlineLevelCol="0"/>
  <cols>
    <col collapsed="false" customWidth="true" hidden="false" outlineLevel="0" max="1" min="1" style="0" width="34"/>
    <col collapsed="false" customWidth="true" hidden="false" outlineLevel="0" max="4" min="2" style="0" width="14"/>
    <col collapsed="false" customWidth="true" hidden="false" outlineLevel="0" max="19" min="5" style="0" width="12"/>
  </cols>
  <sheetData>
    <row r="1" customFormat="false" ht="24" hidden="false" customHeight="true" outlineLevel="0" collapsed="false">
      <c r="A1" s="13" t="s">
        <v>21</v>
      </c>
    </row>
    <row r="2" customFormat="false" ht="15" hidden="false" customHeight="false" outlineLevel="0" collapsed="false">
      <c r="A2" s="14" t="s">
        <v>183</v>
      </c>
    </row>
    <row r="4" customFormat="false" ht="15" hidden="false" customHeight="false" outlineLevel="0" collapsed="false">
      <c r="C4" s="29" t="n">
        <f aca="false">EDATE(StartMonth,0)</f>
        <v>46388</v>
      </c>
      <c r="D4" s="29" t="n">
        <f aca="false">EDATE(StartMonth,1)</f>
        <v>46419</v>
      </c>
      <c r="E4" s="29" t="n">
        <f aca="false">EDATE(StartMonth,2)</f>
        <v>46447</v>
      </c>
      <c r="F4" s="29" t="n">
        <f aca="false">EDATE(StartMonth,3)</f>
        <v>46478</v>
      </c>
      <c r="G4" s="29" t="n">
        <f aca="false">EDATE(StartMonth,4)</f>
        <v>46508</v>
      </c>
      <c r="H4" s="29" t="n">
        <f aca="false">EDATE(StartMonth,5)</f>
        <v>46539</v>
      </c>
      <c r="I4" s="29" t="n">
        <f aca="false">EDATE(StartMonth,6)</f>
        <v>46569</v>
      </c>
      <c r="J4" s="29" t="n">
        <f aca="false">EDATE(StartMonth,7)</f>
        <v>46600</v>
      </c>
      <c r="K4" s="29" t="n">
        <f aca="false">EDATE(StartMonth,8)</f>
        <v>46631</v>
      </c>
      <c r="L4" s="29" t="n">
        <f aca="false">EDATE(StartMonth,9)</f>
        <v>46661</v>
      </c>
      <c r="M4" s="29" t="n">
        <f aca="false">EDATE(StartMonth,10)</f>
        <v>46692</v>
      </c>
      <c r="N4" s="29" t="n">
        <f aca="false">EDATE(StartMonth,11)</f>
        <v>46722</v>
      </c>
      <c r="O4" s="18" t="s">
        <v>42</v>
      </c>
      <c r="P4" s="18" t="s">
        <v>43</v>
      </c>
      <c r="Q4" s="18" t="s">
        <v>44</v>
      </c>
      <c r="R4" s="18" t="s">
        <v>45</v>
      </c>
      <c r="S4" s="18" t="s">
        <v>46</v>
      </c>
    </row>
    <row r="5" customFormat="false" ht="15" hidden="false" customHeight="false" outlineLevel="0" collapsed="false">
      <c r="A5" s="6" t="s">
        <v>184</v>
      </c>
      <c r="C5" s="19" t="n">
        <f aca="false">'Income statement'!C10+'Income statement'!C11+'Income statement'!C12+'Income statement'!C14</f>
        <v>5516.66666666667</v>
      </c>
      <c r="D5" s="19" t="n">
        <f aca="false">'Income statement'!D10+'Income statement'!D11+'Income statement'!D12+'Income statement'!D14</f>
        <v>5629.16666666667</v>
      </c>
      <c r="E5" s="19" t="n">
        <f aca="false">'Income statement'!E10+'Income statement'!E11+'Income statement'!E12+'Income statement'!E14</f>
        <v>5826.82291666667</v>
      </c>
      <c r="F5" s="19" t="n">
        <f aca="false">'Income statement'!F10+'Income statement'!F11+'Income statement'!F12+'Income statement'!F14</f>
        <v>5921.70138888889</v>
      </c>
      <c r="G5" s="19" t="n">
        <f aca="false">'Income statement'!G10+'Income statement'!G11+'Income statement'!G12+'Income statement'!G14</f>
        <v>6119.35763888889</v>
      </c>
      <c r="H5" s="19" t="n">
        <f aca="false">'Income statement'!H10+'Income statement'!H11+'Income statement'!H12+'Income statement'!H14</f>
        <v>6117.01388888889</v>
      </c>
      <c r="I5" s="19" t="n">
        <f aca="false">'Income statement'!I10+'Income statement'!I11+'Income statement'!I12+'Income statement'!I14</f>
        <v>7658.67013888889</v>
      </c>
      <c r="J5" s="19" t="n">
        <f aca="false">'Income statement'!J10+'Income statement'!J11+'Income statement'!J12+'Income statement'!J14</f>
        <v>7656.32638888889</v>
      </c>
      <c r="K5" s="19" t="n">
        <f aca="false">'Income statement'!K10+'Income statement'!K11+'Income statement'!K12+'Income statement'!K14</f>
        <v>7853.98263888889</v>
      </c>
      <c r="L5" s="19" t="n">
        <f aca="false">'Income statement'!L10+'Income statement'!L11+'Income statement'!L12+'Income statement'!L14</f>
        <v>7851.63888888889</v>
      </c>
      <c r="M5" s="19" t="n">
        <f aca="false">'Income statement'!M10+'Income statement'!M11+'Income statement'!M12+'Income statement'!M14</f>
        <v>8049.29513888889</v>
      </c>
      <c r="N5" s="19" t="n">
        <f aca="false">'Income statement'!N10+'Income statement'!N11+'Income statement'!N12+'Income statement'!N14</f>
        <v>8046.95138888889</v>
      </c>
      <c r="O5" s="19" t="n">
        <f aca="false">'Income statement'!O10+'Income statement'!O11+'Income statement'!O12+'Income statement'!O14</f>
        <v>82247.59375</v>
      </c>
      <c r="P5" s="19" t="n">
        <f aca="false">'Income statement'!P10+'Income statement'!P11+'Income statement'!P12+'Income statement'!P14</f>
        <v>90008.9416666667</v>
      </c>
      <c r="Q5" s="19" t="n">
        <f aca="false">'Income statement'!Q10+'Income statement'!Q11+'Income statement'!Q12+'Income statement'!Q14</f>
        <v>98148.4816666667</v>
      </c>
      <c r="R5" s="19" t="n">
        <f aca="false">'Income statement'!R10+'Income statement'!R11+'Income statement'!R12+'Income statement'!R14</f>
        <v>107135.725666667</v>
      </c>
      <c r="S5" s="19" t="n">
        <f aca="false">'Income statement'!S10+'Income statement'!S11+'Income statement'!S12+'Income statement'!S14</f>
        <v>117210.131566667</v>
      </c>
    </row>
    <row r="7" customFormat="false" ht="15" hidden="false" customHeight="false" outlineLevel="0" collapsed="false">
      <c r="A7" s="6" t="s">
        <v>185</v>
      </c>
      <c r="C7" s="20" t="n">
        <f aca="false">'Income statement'!C8</f>
        <v>0.61</v>
      </c>
      <c r="D7" s="20" t="n">
        <f aca="false">'Income statement'!D8</f>
        <v>0.61</v>
      </c>
      <c r="E7" s="20" t="n">
        <f aca="false">'Income statement'!E8</f>
        <v>0.61</v>
      </c>
      <c r="F7" s="20" t="n">
        <f aca="false">'Income statement'!F8</f>
        <v>0.61</v>
      </c>
      <c r="G7" s="20" t="n">
        <f aca="false">'Income statement'!G8</f>
        <v>0.61</v>
      </c>
      <c r="H7" s="20" t="n">
        <f aca="false">'Income statement'!H8</f>
        <v>0.61</v>
      </c>
      <c r="I7" s="20" t="n">
        <f aca="false">'Income statement'!I8</f>
        <v>0.61</v>
      </c>
      <c r="J7" s="20" t="n">
        <f aca="false">'Income statement'!J8</f>
        <v>0.61</v>
      </c>
      <c r="K7" s="20" t="n">
        <f aca="false">'Income statement'!K8</f>
        <v>0.61</v>
      </c>
      <c r="L7" s="20" t="n">
        <f aca="false">'Income statement'!L8</f>
        <v>0.61</v>
      </c>
      <c r="M7" s="20" t="n">
        <f aca="false">'Income statement'!M8</f>
        <v>0.61</v>
      </c>
      <c r="N7" s="20" t="n">
        <f aca="false">'Income statement'!N8</f>
        <v>0.61</v>
      </c>
      <c r="O7" s="20" t="n">
        <f aca="false">'Income statement'!O8</f>
        <v>0.61</v>
      </c>
      <c r="P7" s="20" t="n">
        <f aca="false">'Income statement'!P8</f>
        <v>0.61</v>
      </c>
      <c r="Q7" s="20" t="n">
        <f aca="false">'Income statement'!Q8</f>
        <v>0.61</v>
      </c>
      <c r="R7" s="20" t="n">
        <f aca="false">'Income statement'!R8</f>
        <v>0.61</v>
      </c>
      <c r="S7" s="20" t="n">
        <f aca="false">'Income statement'!S8</f>
        <v>0.61</v>
      </c>
    </row>
    <row r="8" customFormat="false" ht="15" hidden="false" customHeight="false" outlineLevel="0" collapsed="false">
      <c r="A8" s="3" t="s">
        <v>186</v>
      </c>
      <c r="C8" s="38" t="n">
        <f aca="false">IF(C7&lt;=0,"n/a",C5/C7)</f>
        <v>9043.71584699454</v>
      </c>
      <c r="D8" s="38" t="n">
        <f aca="false">IF(D7&lt;=0,"n/a",D5/D7)</f>
        <v>9228.14207650273</v>
      </c>
      <c r="E8" s="38" t="n">
        <f aca="false">IF(E7&lt;=0,"n/a",E5/E7)</f>
        <v>9552.168715847</v>
      </c>
      <c r="F8" s="38" t="n">
        <f aca="false">IF(F7&lt;=0,"n/a",F5/F7)</f>
        <v>9707.70719489982</v>
      </c>
      <c r="G8" s="38" t="n">
        <f aca="false">IF(G7&lt;=0,"n/a",G5/G7)</f>
        <v>10031.7338342441</v>
      </c>
      <c r="H8" s="38" t="n">
        <f aca="false">IF(H7&lt;=0,"n/a",H5/H7)</f>
        <v>10027.8916211293</v>
      </c>
      <c r="I8" s="38" t="n">
        <f aca="false">IF(I7&lt;=0,"n/a",I5/I7)</f>
        <v>12555.1969489982</v>
      </c>
      <c r="J8" s="38" t="n">
        <f aca="false">IF(J7&lt;=0,"n/a",J5/J7)</f>
        <v>12551.3547358834</v>
      </c>
      <c r="K8" s="38" t="n">
        <f aca="false">IF(K7&lt;=0,"n/a",K5/K7)</f>
        <v>12875.3813752277</v>
      </c>
      <c r="L8" s="38" t="n">
        <f aca="false">IF(L7&lt;=0,"n/a",L5/L7)</f>
        <v>12871.5391621129</v>
      </c>
      <c r="M8" s="38" t="n">
        <f aca="false">IF(M7&lt;=0,"n/a",M5/M7)</f>
        <v>13195.5658014572</v>
      </c>
      <c r="N8" s="38" t="n">
        <f aca="false">IF(N7&lt;=0,"n/a",N5/N7)</f>
        <v>13191.7235883424</v>
      </c>
      <c r="O8" s="38" t="n">
        <f aca="false">IF(O7&lt;=0,"n/a",O5/O7)</f>
        <v>134832.120901639</v>
      </c>
      <c r="P8" s="38" t="n">
        <f aca="false">IF(P7&lt;=0,"n/a",P5/P7)</f>
        <v>147555.642076503</v>
      </c>
      <c r="Q8" s="38" t="n">
        <f aca="false">IF(Q7&lt;=0,"n/a",Q5/Q7)</f>
        <v>160899.150273224</v>
      </c>
      <c r="R8" s="38" t="n">
        <f aca="false">IF(R7&lt;=0,"n/a",R5/R7)</f>
        <v>175632.33715847</v>
      </c>
      <c r="S8" s="38" t="n">
        <f aca="false">IF(S7&lt;=0,"n/a",S5/S7)</f>
        <v>192147.756666667</v>
      </c>
    </row>
    <row r="10" customFormat="false" ht="15" hidden="false" customHeight="false" outlineLevel="0" collapsed="false">
      <c r="A10" s="6" t="s">
        <v>187</v>
      </c>
      <c r="C10" s="19" t="n">
        <f aca="false">'Income statement'!C5</f>
        <v>2985</v>
      </c>
      <c r="D10" s="19" t="n">
        <f aca="false">'Income statement'!D5</f>
        <v>3635</v>
      </c>
      <c r="E10" s="19" t="n">
        <f aca="false">'Income statement'!E5</f>
        <v>5572</v>
      </c>
      <c r="F10" s="19" t="n">
        <f aca="false">'Income statement'!F5</f>
        <v>6383</v>
      </c>
      <c r="G10" s="19" t="n">
        <f aca="false">'Income statement'!G5</f>
        <v>8452</v>
      </c>
      <c r="H10" s="19" t="n">
        <f aca="false">'Income statement'!H5</f>
        <v>9395</v>
      </c>
      <c r="I10" s="19" t="n">
        <f aca="false">'Income statement'!I5</f>
        <v>11567</v>
      </c>
      <c r="J10" s="19" t="n">
        <f aca="false">'Income statement'!J5</f>
        <v>12613</v>
      </c>
      <c r="K10" s="19" t="n">
        <f aca="false">'Income statement'!K5</f>
        <v>14888</v>
      </c>
      <c r="L10" s="19" t="n">
        <f aca="false">'Income statement'!L5</f>
        <v>16037</v>
      </c>
      <c r="M10" s="19" t="n">
        <f aca="false">'Income statement'!M5</f>
        <v>18415</v>
      </c>
      <c r="N10" s="19" t="n">
        <f aca="false">'Income statement'!N5</f>
        <v>19622</v>
      </c>
      <c r="O10" s="19" t="n">
        <f aca="false">'Income statement'!O5</f>
        <v>129564</v>
      </c>
      <c r="P10" s="19" t="n">
        <f aca="false">'Income statement'!P5</f>
        <v>174911.4</v>
      </c>
      <c r="Q10" s="19" t="n">
        <f aca="false">'Income statement'!Q5</f>
        <v>218639.25</v>
      </c>
      <c r="R10" s="19" t="n">
        <f aca="false">'Income statement'!R5</f>
        <v>257994.315</v>
      </c>
      <c r="S10" s="19" t="n">
        <f aca="false">'Income statement'!S5</f>
        <v>288953.6328</v>
      </c>
    </row>
    <row r="11" customFormat="false" ht="15" hidden="false" customHeight="false" outlineLevel="0" collapsed="false">
      <c r="A11" s="3" t="s">
        <v>188</v>
      </c>
      <c r="C11" s="38" t="n">
        <f aca="false">IF(C7&lt;=0,"n/a",C10-C8)</f>
        <v>-6058.71584699454</v>
      </c>
      <c r="D11" s="38" t="n">
        <f aca="false">IF(D7&lt;=0,"n/a",D10-D8)</f>
        <v>-5593.14207650273</v>
      </c>
      <c r="E11" s="38" t="n">
        <f aca="false">IF(E7&lt;=0,"n/a",E10-E8)</f>
        <v>-3980.168715847</v>
      </c>
      <c r="F11" s="38" t="n">
        <f aca="false">IF(F7&lt;=0,"n/a",F10-F8)</f>
        <v>-3324.70719489982</v>
      </c>
      <c r="G11" s="38" t="n">
        <f aca="false">IF(G7&lt;=0,"n/a",G10-G8)</f>
        <v>-1579.73383424408</v>
      </c>
      <c r="H11" s="38" t="n">
        <f aca="false">IF(H7&lt;=0,"n/a",H10-H8)</f>
        <v>-632.891621129325</v>
      </c>
      <c r="I11" s="38" t="n">
        <f aca="false">IF(I7&lt;=0,"n/a",I10-I8)</f>
        <v>-988.19694899818</v>
      </c>
      <c r="J11" s="38" t="n">
        <f aca="false">IF(J7&lt;=0,"n/a",J10-J8)</f>
        <v>61.6452641165743</v>
      </c>
      <c r="K11" s="38" t="n">
        <f aca="false">IF(K7&lt;=0,"n/a",K10-K8)</f>
        <v>2012.61862477231</v>
      </c>
      <c r="L11" s="38" t="n">
        <f aca="false">IF(L7&lt;=0,"n/a",L10-L8)</f>
        <v>3165.46083788707</v>
      </c>
      <c r="M11" s="38" t="n">
        <f aca="false">IF(M7&lt;=0,"n/a",M10-M8)</f>
        <v>5219.4341985428</v>
      </c>
      <c r="N11" s="38" t="n">
        <f aca="false">IF(N7&lt;=0,"n/a",N10-N8)</f>
        <v>6430.27641165756</v>
      </c>
      <c r="O11" s="38" t="n">
        <f aca="false">IF(O7&lt;=0,"n/a",O10-O8)</f>
        <v>-5268.12090163934</v>
      </c>
      <c r="P11" s="38" t="n">
        <f aca="false">IF(P7&lt;=0,"n/a",P10-P8)</f>
        <v>27355.7579234973</v>
      </c>
      <c r="Q11" s="38" t="n">
        <f aca="false">IF(Q7&lt;=0,"n/a",Q10-Q8)</f>
        <v>57740.099726776</v>
      </c>
      <c r="R11" s="38" t="n">
        <f aca="false">IF(R7&lt;=0,"n/a",R10-R8)</f>
        <v>82361.9778415301</v>
      </c>
      <c r="S11" s="38" t="n">
        <f aca="false">IF(S7&lt;=0,"n/a",S10-S8)</f>
        <v>96805.8761333334</v>
      </c>
    </row>
    <row r="12" customFormat="false" ht="15" hidden="false" customHeight="false" outlineLevel="0" collapsed="false">
      <c r="A12" s="5" t="s">
        <v>189</v>
      </c>
      <c r="C12" s="39" t="str">
        <f aca="false">IF(C7&lt;=0,"n/a",IF(C10&gt;=C8,"Yes","No"))</f>
        <v>No</v>
      </c>
      <c r="D12" s="39" t="str">
        <f aca="false">IF(D7&lt;=0,"n/a",IF(D10&gt;=D8,"Yes","No"))</f>
        <v>No</v>
      </c>
      <c r="E12" s="39" t="str">
        <f aca="false">IF(E7&lt;=0,"n/a",IF(E10&gt;=E8,"Yes","No"))</f>
        <v>No</v>
      </c>
      <c r="F12" s="39" t="str">
        <f aca="false">IF(F7&lt;=0,"n/a",IF(F10&gt;=F8,"Yes","No"))</f>
        <v>No</v>
      </c>
      <c r="G12" s="39" t="str">
        <f aca="false">IF(G7&lt;=0,"n/a",IF(G10&gt;=G8,"Yes","No"))</f>
        <v>No</v>
      </c>
      <c r="H12" s="39" t="str">
        <f aca="false">IF(H7&lt;=0,"n/a",IF(H10&gt;=H8,"Yes","No"))</f>
        <v>No</v>
      </c>
      <c r="I12" s="39" t="str">
        <f aca="false">IF(I7&lt;=0,"n/a",IF(I10&gt;=I8,"Yes","No"))</f>
        <v>No</v>
      </c>
      <c r="J12" s="39" t="str">
        <f aca="false">IF(J7&lt;=0,"n/a",IF(J10&gt;=J8,"Yes","No"))</f>
        <v>Yes</v>
      </c>
      <c r="K12" s="39" t="str">
        <f aca="false">IF(K7&lt;=0,"n/a",IF(K10&gt;=K8,"Yes","No"))</f>
        <v>Yes</v>
      </c>
      <c r="L12" s="39" t="str">
        <f aca="false">IF(L7&lt;=0,"n/a",IF(L10&gt;=L8,"Yes","No"))</f>
        <v>Yes</v>
      </c>
      <c r="M12" s="39" t="str">
        <f aca="false">IF(M7&lt;=0,"n/a",IF(M10&gt;=M8,"Yes","No"))</f>
        <v>Yes</v>
      </c>
      <c r="N12" s="39" t="str">
        <f aca="false">IF(N7&lt;=0,"n/a",IF(N10&gt;=N8,"Yes","No"))</f>
        <v>Yes</v>
      </c>
      <c r="O12" s="39" t="str">
        <f aca="false">IF(O7&lt;=0,"n/a",IF(O10&gt;=O8,"Yes","No"))</f>
        <v>No</v>
      </c>
      <c r="P12" s="39" t="str">
        <f aca="false">IF(P7&lt;=0,"n/a",IF(P10&gt;=P8,"Yes","No"))</f>
        <v>Yes</v>
      </c>
      <c r="Q12" s="39" t="str">
        <f aca="false">IF(Q7&lt;=0,"n/a",IF(Q10&gt;=Q8,"Yes","No"))</f>
        <v>Yes</v>
      </c>
      <c r="R12" s="39" t="str">
        <f aca="false">IF(R7&lt;=0,"n/a",IF(R10&gt;=R8,"Yes","No"))</f>
        <v>Yes</v>
      </c>
      <c r="S12" s="39" t="str">
        <f aca="false">IF(S7&lt;=0,"n/a",IF(S10&gt;=S8,"Yes","No"))</f>
        <v>Yes</v>
      </c>
    </row>
    <row r="14" customFormat="false" ht="15" hidden="false" customHeight="false" outlineLevel="0" collapsed="false">
      <c r="A14" s="21" t="s">
        <v>190</v>
      </c>
      <c r="C14" s="40" t="str">
        <f aca="false">IFERROR(TEXT(EDATE(StartMonth,MATCH("Yes",C12:N12,0)-1),"mmm yyyy"),"not in year 1")</f>
        <v>Aug 2027</v>
      </c>
    </row>
    <row r="16" customFormat="false" ht="15" hidden="false" customHeight="false" outlineLevel="0" collapsed="false">
      <c r="A16" s="11" t="s">
        <v>191</v>
      </c>
    </row>
    <row r="17" customFormat="false" ht="15" hidden="false" customHeight="false" outlineLevel="0" collapsed="false">
      <c r="A17" s="11" t="s">
        <v>192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LibreOffice/24.2.3.2$Windows_X86_64 LibreOffice_project/433d9c2ded56988e8a90e6b2e771ee4e6a5ab2ba</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2026-10-23T06:50:09Z</dcterms:created>
  <dc:creator>openpyxl</dc:creator>
  <dc:description/>
  <dc:language>en-IN</dc:language>
  <cp:lastModifiedBy/>
  <dcterms:modified xsi:type="dcterms:W3CDTF">2026-10-23T06:50:09Z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